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q2dGHRAd9R22ml1OOrhA7LbVnzViE2RzkuRqOmV0f9l64GHkvVXWXosmTrOrMx4l3KZyODS1rU0yySuy/0PsSw==" workbookSaltValue="7o6QjAv0P698CpwjdLuSL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D18" i="12"/>
  <c r="ER19" i="8"/>
  <c r="EQ19" i="8"/>
  <c r="BA13" i="16"/>
  <c r="AC17" i="11"/>
  <c r="G18" i="12"/>
  <c r="W19" i="13"/>
  <c r="Z19" i="8"/>
  <c r="AL13" i="16"/>
  <c r="S13" i="16"/>
  <c r="P13" i="16"/>
  <c r="AN13" i="20"/>
  <c r="Z13" i="17"/>
  <c r="M18" i="2"/>
  <c r="H13" i="12"/>
  <c r="BG12" i="8"/>
  <c r="BD9" i="8"/>
  <c r="BA13" i="8"/>
  <c r="I19" i="8"/>
  <c r="T13" i="20"/>
  <c r="T13" i="16"/>
  <c r="AP13" i="16"/>
  <c r="T18" i="17"/>
  <c r="BG15" i="13"/>
  <c r="J20" i="20"/>
  <c r="AF20" i="20"/>
  <c r="M20" i="20"/>
  <c r="AG20" i="20"/>
  <c r="S20" i="20"/>
  <c r="Z20" i="20"/>
  <c r="AM20" i="20"/>
  <c r="AK20" i="20"/>
  <c r="F20" i="20"/>
  <c r="K20" i="20"/>
  <c r="W20" i="21"/>
  <c r="AN17" i="11" l="1"/>
  <c r="G17" i="3"/>
  <c r="AJ19" i="8"/>
  <c r="AR18" i="11"/>
  <c r="E18" i="12"/>
  <c r="C18" i="7"/>
  <c r="T19" i="8"/>
  <c r="AA19" i="8"/>
  <c r="T13" i="12"/>
  <c r="C19" i="3"/>
  <c r="AO12" i="11"/>
  <c r="R8" i="9"/>
  <c r="X12" i="21" s="1"/>
  <c r="D17" i="6"/>
  <c r="BF12" i="8"/>
  <c r="AY13" i="8"/>
  <c r="BD15" i="8"/>
  <c r="G18" i="2"/>
  <c r="BE9" i="8"/>
  <c r="AC12" i="11"/>
  <c r="BD11" i="13"/>
  <c r="BB13" i="13"/>
  <c r="F11" i="16"/>
  <c r="AP16" i="20"/>
  <c r="V15" i="11"/>
  <c r="BH15" i="11"/>
  <c r="BL17" i="11"/>
  <c r="BK11" i="11"/>
  <c r="BI15" i="11"/>
  <c r="AP15" i="20"/>
  <c r="T15" i="16"/>
  <c r="BW17" i="20"/>
  <c r="BV15" i="16"/>
  <c r="BU9" i="17"/>
  <c r="BU16" i="17"/>
  <c r="S11" i="14"/>
  <c r="V11" i="14" s="1"/>
  <c r="P15" i="17"/>
  <c r="BL15" i="11"/>
  <c r="BK16"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K12" i="11"/>
  <c r="BK9" i="11"/>
  <c r="V11" i="11"/>
  <c r="BI10" i="11"/>
  <c r="S9" i="14"/>
  <c r="V9" i="14" s="1"/>
  <c r="BJ15" i="11"/>
  <c r="BJ12" i="11"/>
  <c r="BG15" i="11"/>
  <c r="R17" i="20"/>
  <c r="R18" i="20" s="1"/>
  <c r="BK17" i="11"/>
  <c r="T17" i="16"/>
  <c r="BU15" i="17"/>
  <c r="BW9" i="20"/>
  <c r="BV16" i="16"/>
  <c r="BW16" i="20"/>
  <c r="BW15" i="20"/>
  <c r="BV10" i="16"/>
  <c r="BU17" i="17"/>
  <c r="BV9" i="16"/>
  <c r="S12" i="14"/>
  <c r="V12" i="14" s="1"/>
  <c r="S15" i="16"/>
  <c r="BF12" i="11"/>
  <c r="BL10" i="11"/>
  <c r="BJ10" i="11"/>
  <c r="BH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Q9" i="11"/>
  <c r="BD13" i="13"/>
  <c r="Q10" i="21"/>
  <c r="BF10" i="11"/>
  <c r="BH15" i="16"/>
  <c r="BJ17" i="11"/>
  <c r="BH9" i="16"/>
  <c r="S17" i="17"/>
  <c r="BG16" i="11"/>
  <c r="BM9" i="11"/>
  <c r="BK10" i="11"/>
  <c r="BK13" i="11" s="1"/>
  <c r="X15" i="16"/>
  <c r="X18" i="16" s="1"/>
  <c r="BH12" i="16"/>
  <c r="S15" i="17"/>
  <c r="L15" i="2"/>
  <c r="V10" i="16"/>
  <c r="V9" i="16"/>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H20" i="17"/>
  <c r="O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<sst xmlns="http://schemas.openxmlformats.org/spreadsheetml/2006/main" count="2094" uniqueCount="914">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</sst>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jviubWtU2S1/vObiDaJ44eR9k1GmpDcuZrdYhD/Ynx3Ktdx9xVmc14C7d7sfoFDMTYWZYDhrI9Opt0zM9hBQw==" saltValue="HJxHaeA0O6CvF/g6tuAn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7</v>
      </c>
      <c r="F10" s="229">
        <f>IF(ISNUMBER(Datos!K10),Datos!K10," - ")</f>
        <v>5</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0.66666666666666663</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13.628244274809159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7</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548</v>
      </c>
      <c r="D16" s="228">
        <f>IF(ISNUMBER(IF(D_I="SI",Datos!I16,Datos!I16+Datos!AC16)),IF(D_I="SI",Datos!I16,Datos!I16+Datos!AC16)," - ")</f>
        <v>544</v>
      </c>
      <c r="E16" s="229">
        <f>IF(ISNUMBER(IF(D_I="SI",Datos!J16,Datos!J16+Datos!AD16)),IF(D_I="SI",Datos!J16,Datos!J16+Datos!AD16)," - ")</f>
        <v>1510</v>
      </c>
      <c r="F16" s="229">
        <f>IF(ISNUMBER(IF(D_I="SI",Datos!K16,Datos!K16+Datos!AE16)),IF(D_I="SI",Datos!K16,Datos!K16+Datos!AE16)," - ")</f>
        <v>1429</v>
      </c>
      <c r="G16" s="1037" t="str">
        <f>IF(Datos!E16&lt;&gt;"",Datos!E16,Datos!D16)</f>
        <v>04</v>
      </c>
      <c r="H16" s="230">
        <f>IF(ISNUMBER(IF(D_I="SI",Datos!L16,Datos!L16+Datos!AF16)),IF(D_I="SI",Datos!L16,Datos!L16+Datos!AF16)," - ")</f>
        <v>629</v>
      </c>
      <c r="I16" s="1047" t="str">
        <f>IF(ISNUMBER(Datos!AS16/Datos!BM16),Datos!AS16/Datos!BM16," - ")</f>
        <v xml:space="preserve"> - </v>
      </c>
      <c r="J16" s="1048">
        <f>IF(ISNUMBER(Datos!BY16/Datos!CN16),Datos!BY16/Datos!CN16," - ")</f>
        <v>0</v>
      </c>
      <c r="K16" s="233">
        <f t="shared" si="3"/>
        <v>0.1478102189781022</v>
      </c>
      <c r="L16" s="1028">
        <f>IF(ISNUMBER(NºAsuntos!I16/NºAsuntos!G16),(NºAsuntos!I16/NºAsuntos!G16)*11," - ")</f>
        <v>4.8418474457662697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10</v>
      </c>
      <c r="E17" s="229">
        <f>IF(ISNUMBER(IF(D_I="SI",Datos!J17,Datos!J17+Datos!AD17)),IF(D_I="SI",Datos!J17,Datos!J17+Datos!AD17)," - ")</f>
        <v>134</v>
      </c>
      <c r="F17" s="229">
        <f>IF(ISNUMBER(IF(D_I="SI",Datos!K17,Datos!K17+Datos!AE17)),IF(D_I="SI",Datos!K17,Datos!K17+Datos!AE17)," - ")</f>
        <v>137</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-0.3</v>
      </c>
      <c r="L17" s="1028">
        <f>IF(ISNUMBER(NºAsuntos!I17/NºAsuntos!G17),(NºAsuntos!I17/NºAsuntos!G17)*11," - ")</f>
        <v>0.56204379562043794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558</v>
      </c>
      <c r="D18" s="1052">
        <f>SUBTOTAL(9,D15:D17)</f>
        <v>554</v>
      </c>
      <c r="E18" s="1053">
        <f>SUBTOTAL(9,E15:E17)</f>
        <v>1644</v>
      </c>
      <c r="F18" s="1053">
        <f>SUBTOTAL(9,F15:F17)</f>
        <v>1566</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561</v>
      </c>
      <c r="D19" s="1074">
        <f>SUBTOTAL(9,D9:D18)</f>
        <v>557</v>
      </c>
      <c r="E19" s="1075">
        <f>SUBTOTAL(9,E9:E18)</f>
        <v>1651</v>
      </c>
      <c r="F19" s="1075">
        <f>SUBTOTAL(9,F9:F18)</f>
        <v>1571</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GXxwXFEQI9IhP5Cc1Fh2BRahflRTX72407FEetDSuMuWMwZftMXMpil5uwLzlmhMqTzi5LzaoQSmR9B+sa9xiw==" saltValue="b26tf3OGd3xHgRzZwTDd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L0UcpK3zxIweI6gga4t299awgI4SR1kNBZd3SLxT8Fvuc0sFcvtA+IB7bL0vbaBB1EYMCLFQU36lBsCxSpf5Q==" saltValue="VH+YTXf21t0QVoSGAXCB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7</v>
      </c>
      <c r="K10" s="184">
        <v>5</v>
      </c>
      <c r="L10" s="184">
        <v>5</v>
      </c>
      <c r="M10" s="184">
        <v>4</v>
      </c>
      <c r="N10" s="184">
        <v>0</v>
      </c>
      <c r="O10" s="184">
        <v>0</v>
      </c>
      <c r="P10" s="184">
        <v>0</v>
      </c>
      <c r="Q10" s="184">
        <v>0</v>
      </c>
      <c r="R10" s="184">
        <v>0</v>
      </c>
      <c r="S10" s="184">
        <v>1</v>
      </c>
      <c r="T10" s="184">
        <v>5</v>
      </c>
      <c r="U10" s="184">
        <v>3</v>
      </c>
      <c r="V10" s="184">
        <v>3</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5</v>
      </c>
      <c r="BA10" s="129">
        <f t="shared" si="0"/>
        <v>3</v>
      </c>
      <c r="BB10" s="129">
        <f t="shared" si="0"/>
        <v>3</v>
      </c>
      <c r="BC10" s="125">
        <f t="shared" si="0"/>
        <v>2</v>
      </c>
      <c r="BD10" s="126">
        <f>IF(ISNUMBER(BA10/AZ10),BA10/AZ10," - ")</f>
        <v>0.6</v>
      </c>
      <c r="BE10" s="127">
        <f>IF(ISNUMBER(BB10/BA10),BB10/BA10, " - ")</f>
        <v>1</v>
      </c>
      <c r="BF10" s="127">
        <f>IF(ISNUMBER(BC10/BA10),BC10/BA10, " - ")</f>
        <v>0.66666666666666663</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1472</v>
      </c>
      <c r="J12" s="186">
        <v>1548</v>
      </c>
      <c r="K12" s="186">
        <v>1238</v>
      </c>
      <c r="L12" s="186">
        <v>1569</v>
      </c>
      <c r="M12" s="186">
        <v>273</v>
      </c>
      <c r="N12" s="186">
        <v>631</v>
      </c>
      <c r="O12" s="184">
        <v>448</v>
      </c>
      <c r="P12" s="186">
        <v>322</v>
      </c>
      <c r="Q12" s="186">
        <v>100</v>
      </c>
      <c r="R12" s="186">
        <v>1658</v>
      </c>
      <c r="S12" s="186">
        <v>995</v>
      </c>
      <c r="T12" s="186">
        <v>1160</v>
      </c>
      <c r="U12" s="186">
        <v>738</v>
      </c>
      <c r="V12" s="186">
        <v>1472</v>
      </c>
      <c r="W12" s="186">
        <v>184</v>
      </c>
      <c r="X12" s="192">
        <v>211</v>
      </c>
      <c r="Y12" s="194">
        <v>34</v>
      </c>
      <c r="Z12" s="184">
        <v>64</v>
      </c>
      <c r="AA12" s="184">
        <v>72</v>
      </c>
      <c r="AB12" s="184">
        <v>54</v>
      </c>
      <c r="AC12" s="186">
        <v>0</v>
      </c>
      <c r="AD12" s="186">
        <v>0</v>
      </c>
      <c r="AE12" s="186">
        <v>0</v>
      </c>
      <c r="AF12" s="192">
        <v>0</v>
      </c>
      <c r="AG12" s="205">
        <v>11</v>
      </c>
      <c r="AH12" s="186">
        <v>57</v>
      </c>
      <c r="AI12" s="186">
        <v>34</v>
      </c>
      <c r="AJ12" s="206">
        <v>34</v>
      </c>
      <c r="AK12" s="185">
        <v>0</v>
      </c>
      <c r="AL12" s="186">
        <v>0</v>
      </c>
      <c r="AM12" s="186">
        <v>0</v>
      </c>
      <c r="AN12" s="192">
        <v>0</v>
      </c>
      <c r="AO12" s="262">
        <v>2</v>
      </c>
      <c r="AP12" s="158">
        <v>2</v>
      </c>
      <c r="AQ12" s="158">
        <v>2</v>
      </c>
      <c r="AR12" s="157">
        <v>2</v>
      </c>
      <c r="AS12" s="343" t="s">
        <v>803</v>
      </c>
      <c r="AT12" s="206"/>
      <c r="AU12" s="205"/>
      <c r="AV12" s="206"/>
      <c r="AW12" s="205"/>
      <c r="AX12" s="206"/>
      <c r="AY12" s="126">
        <f t="shared" si="1"/>
        <v>1006</v>
      </c>
      <c r="AZ12" s="127">
        <f t="shared" si="1"/>
        <v>1217</v>
      </c>
      <c r="BA12" s="127">
        <f t="shared" si="1"/>
        <v>772</v>
      </c>
      <c r="BB12" s="127">
        <f t="shared" si="1"/>
        <v>1506</v>
      </c>
      <c r="BC12" s="125">
        <f>IF(ISNUMBER(X12),X12," - ")</f>
        <v>211</v>
      </c>
      <c r="BD12" s="126">
        <f t="shared" si="2"/>
        <v>0.63434675431388665</v>
      </c>
      <c r="BE12" s="127">
        <f t="shared" si="3"/>
        <v>1.9507772020725389</v>
      </c>
      <c r="BF12" s="127">
        <f t="shared" si="4"/>
        <v>0.27331606217616583</v>
      </c>
      <c r="BG12" s="199">
        <f t="shared" si="5"/>
        <v>2.8795336787564767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1475</v>
      </c>
      <c r="J13" s="187">
        <f t="shared" si="6"/>
        <v>1555</v>
      </c>
      <c r="K13" s="187">
        <f t="shared" si="6"/>
        <v>1243</v>
      </c>
      <c r="L13" s="187">
        <f t="shared" si="6"/>
        <v>1574</v>
      </c>
      <c r="M13" s="187">
        <f t="shared" si="6"/>
        <v>277</v>
      </c>
      <c r="N13" s="187">
        <f t="shared" si="6"/>
        <v>631</v>
      </c>
      <c r="O13" s="187">
        <f t="shared" si="6"/>
        <v>448</v>
      </c>
      <c r="P13" s="187">
        <f t="shared" si="6"/>
        <v>322</v>
      </c>
      <c r="Q13" s="187">
        <f t="shared" si="6"/>
        <v>100</v>
      </c>
      <c r="R13" s="187">
        <f t="shared" si="6"/>
        <v>1658</v>
      </c>
      <c r="S13" s="187">
        <f t="shared" si="6"/>
        <v>996</v>
      </c>
      <c r="T13" s="187">
        <f t="shared" si="6"/>
        <v>1165</v>
      </c>
      <c r="U13" s="187">
        <f t="shared" si="6"/>
        <v>741</v>
      </c>
      <c r="V13" s="187">
        <f t="shared" si="6"/>
        <v>1475</v>
      </c>
      <c r="W13" s="187">
        <f t="shared" si="6"/>
        <v>186</v>
      </c>
      <c r="X13" s="187">
        <f t="shared" si="6"/>
        <v>211</v>
      </c>
      <c r="Y13" s="187">
        <f t="shared" si="6"/>
        <v>34</v>
      </c>
      <c r="Z13" s="187">
        <f t="shared" si="6"/>
        <v>64</v>
      </c>
      <c r="AA13" s="187">
        <f t="shared" si="6"/>
        <v>72</v>
      </c>
      <c r="AB13" s="187">
        <f t="shared" si="6"/>
        <v>54</v>
      </c>
      <c r="AC13" s="187">
        <f t="shared" si="6"/>
        <v>0</v>
      </c>
      <c r="AD13" s="187">
        <f t="shared" si="6"/>
        <v>0</v>
      </c>
      <c r="AE13" s="187">
        <f t="shared" si="6"/>
        <v>0</v>
      </c>
      <c r="AF13" s="187">
        <f>SUBTOTAL(9,AF9:AF12)</f>
        <v>0</v>
      </c>
      <c r="AG13" s="187">
        <f t="shared" ref="AG13:AT13" si="7">SUBTOTAL(9,AG8:AG12)</f>
        <v>11</v>
      </c>
      <c r="AH13" s="187">
        <f t="shared" si="7"/>
        <v>57</v>
      </c>
      <c r="AI13" s="187">
        <f t="shared" si="7"/>
        <v>34</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1007</v>
      </c>
      <c r="AZ13" s="187">
        <f>SUBTOTAL(9,AZ8:AZ12)</f>
        <v>1222</v>
      </c>
      <c r="BA13" s="187">
        <f>SUBTOTAL(9,BA8:BA12)</f>
        <v>775</v>
      </c>
      <c r="BB13" s="187">
        <f>SUBTOTAL(9,BB8:BB12)</f>
        <v>1509</v>
      </c>
      <c r="BC13" s="187">
        <f>SUBTOTAL(9,BC8:BC12)</f>
        <v>213</v>
      </c>
      <c r="BD13" s="208">
        <f>IF(ISNUMBER(BA13/AZ13),BA13/AZ13," - ")</f>
        <v>0.63420621931260224</v>
      </c>
      <c r="BE13" s="209">
        <f>IF(ISNUMBER(BB13/BA13),BB13/BA13, " - ")</f>
        <v>1.9470967741935483</v>
      </c>
      <c r="BF13" s="209">
        <f>IF(ISNUMBER(BC13/BA13),BC13/BA13, " - ")</f>
        <v>0.27483870967741936</v>
      </c>
      <c r="BG13" s="210">
        <f>IF(ISNUMBER((AY13+AZ13)/BA13),(AY13+AZ13)/BA13," - ")</f>
        <v>2.8761290322580644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544</v>
      </c>
      <c r="J16" s="186">
        <v>1510</v>
      </c>
      <c r="K16" s="186">
        <v>1429</v>
      </c>
      <c r="L16" s="186">
        <v>629</v>
      </c>
      <c r="M16" s="186">
        <v>226</v>
      </c>
      <c r="N16" s="186">
        <v>692</v>
      </c>
      <c r="O16" s="184">
        <v>13</v>
      </c>
      <c r="P16" s="186">
        <v>88</v>
      </c>
      <c r="Q16" s="186">
        <v>94</v>
      </c>
      <c r="R16" s="186">
        <v>74</v>
      </c>
      <c r="S16" s="186">
        <v>562</v>
      </c>
      <c r="T16" s="186">
        <v>1364</v>
      </c>
      <c r="U16" s="186">
        <v>1386</v>
      </c>
      <c r="V16" s="186">
        <v>544</v>
      </c>
      <c r="W16" s="186">
        <v>196</v>
      </c>
      <c r="X16" s="192">
        <v>693</v>
      </c>
      <c r="Y16" s="205">
        <v>0</v>
      </c>
      <c r="Z16" s="186">
        <v>0</v>
      </c>
      <c r="AA16" s="186">
        <v>0</v>
      </c>
      <c r="AB16" s="186">
        <v>0</v>
      </c>
      <c r="AC16" s="186">
        <v>0</v>
      </c>
      <c r="AD16" s="186">
        <v>10</v>
      </c>
      <c r="AE16" s="186">
        <v>10</v>
      </c>
      <c r="AF16" s="192">
        <v>0</v>
      </c>
      <c r="AG16" s="205">
        <v>0</v>
      </c>
      <c r="AH16" s="186">
        <v>0</v>
      </c>
      <c r="AI16" s="186">
        <v>0</v>
      </c>
      <c r="AJ16" s="206">
        <v>0</v>
      </c>
      <c r="AK16" s="185">
        <v>0</v>
      </c>
      <c r="AL16" s="186">
        <v>11</v>
      </c>
      <c r="AM16" s="186">
        <v>11</v>
      </c>
      <c r="AN16" s="192">
        <v>0</v>
      </c>
      <c r="AO16" s="262">
        <v>2</v>
      </c>
      <c r="AP16" s="158">
        <v>2</v>
      </c>
      <c r="AQ16" s="158">
        <v>2</v>
      </c>
      <c r="AR16" s="158">
        <v>2</v>
      </c>
      <c r="AS16" s="343" t="s">
        <v>487</v>
      </c>
      <c r="AT16" s="206"/>
      <c r="AU16" s="205"/>
      <c r="AV16" s="206"/>
      <c r="AW16" s="205"/>
      <c r="AX16" s="206"/>
      <c r="AY16" s="126">
        <f t="shared" si="9"/>
        <v>562</v>
      </c>
      <c r="AZ16" s="127">
        <f t="shared" si="9"/>
        <v>1364</v>
      </c>
      <c r="BA16" s="127">
        <f t="shared" si="9"/>
        <v>1386</v>
      </c>
      <c r="BB16" s="127">
        <f t="shared" si="9"/>
        <v>544</v>
      </c>
      <c r="BC16" s="125">
        <f>IF(ISNUMBER(W16),W16," - ")</f>
        <v>196</v>
      </c>
      <c r="BD16" s="126">
        <f t="shared" ref="BD16" si="11">IF(ISNUMBER(BA16/AZ16),BA16/AZ16," - ")</f>
        <v>1.0161290322580645</v>
      </c>
      <c r="BE16" s="127">
        <f t="shared" ref="BE16" si="12">IF(ISNUMBER(BB16/BA16),BB16/BA16, " - ")</f>
        <v>0.39249639249639251</v>
      </c>
      <c r="BF16" s="127">
        <f t="shared" ref="BF16" si="13">IF(ISNUMBER(BC16/BA16),BC16/BA16, " - ")</f>
        <v>0.14141414141414141</v>
      </c>
      <c r="BG16" s="199">
        <f t="shared" si="10"/>
        <v>1.3896103896103895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v>
      </c>
      <c r="J17" s="186">
        <v>134</v>
      </c>
      <c r="K17" s="186">
        <v>137</v>
      </c>
      <c r="L17" s="186">
        <v>7</v>
      </c>
      <c r="M17" s="186">
        <v>13</v>
      </c>
      <c r="N17" s="186">
        <v>80</v>
      </c>
      <c r="O17" s="186">
        <v>0</v>
      </c>
      <c r="P17" s="186">
        <v>0</v>
      </c>
      <c r="Q17" s="186">
        <v>0</v>
      </c>
      <c r="R17" s="186">
        <v>0</v>
      </c>
      <c r="S17" s="186">
        <v>6</v>
      </c>
      <c r="T17" s="186">
        <v>139</v>
      </c>
      <c r="U17" s="186">
        <v>135</v>
      </c>
      <c r="V17" s="186">
        <v>10</v>
      </c>
      <c r="W17" s="186">
        <v>19</v>
      </c>
      <c r="X17" s="192">
        <v>75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139</v>
      </c>
      <c r="BA17" s="129">
        <f t="shared" si="14"/>
        <v>135</v>
      </c>
      <c r="BB17" s="129">
        <f t="shared" si="14"/>
        <v>10</v>
      </c>
      <c r="BC17" s="125">
        <f>IF(ISNUMBER(W17),W17," - ")</f>
        <v>19</v>
      </c>
      <c r="BD17" s="126">
        <f>IF(ISNUMBER(BA17/AZ17),BA17/AZ17," - ")</f>
        <v>0.97122302158273377</v>
      </c>
      <c r="BE17" s="127">
        <f>IF(ISNUMBER(BB17/BA17),BB17/BA17, " - ")</f>
        <v>7.407407407407407E-2</v>
      </c>
      <c r="BF17" s="127">
        <f>IF(ISNUMBER(BC17/BA17),BC17/BA17, " - ")</f>
        <v>0.14074074074074075</v>
      </c>
      <c r="BG17" s="199">
        <f>IF(ISNUMBER((AY17+AZ17)/BA17),(AY17+AZ17)/BA17," - ")</f>
        <v>1.0740740740740742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554</v>
      </c>
      <c r="J18" s="187">
        <f t="shared" si="15"/>
        <v>1644</v>
      </c>
      <c r="K18" s="187">
        <f t="shared" si="15"/>
        <v>1566</v>
      </c>
      <c r="L18" s="187">
        <f t="shared" si="15"/>
        <v>636</v>
      </c>
      <c r="M18" s="187">
        <f t="shared" si="15"/>
        <v>239</v>
      </c>
      <c r="N18" s="187">
        <f t="shared" si="15"/>
        <v>772</v>
      </c>
      <c r="O18" s="187">
        <f t="shared" si="15"/>
        <v>13</v>
      </c>
      <c r="P18" s="187">
        <f t="shared" si="15"/>
        <v>88</v>
      </c>
      <c r="Q18" s="187">
        <f t="shared" si="15"/>
        <v>94</v>
      </c>
      <c r="R18" s="187">
        <f t="shared" si="15"/>
        <v>74</v>
      </c>
      <c r="S18" s="187">
        <f t="shared" si="15"/>
        <v>568</v>
      </c>
      <c r="T18" s="187">
        <f t="shared" si="15"/>
        <v>1503</v>
      </c>
      <c r="U18" s="187">
        <f t="shared" si="15"/>
        <v>1521</v>
      </c>
      <c r="V18" s="187">
        <f t="shared" si="15"/>
        <v>554</v>
      </c>
      <c r="W18" s="187">
        <f t="shared" si="15"/>
        <v>215</v>
      </c>
      <c r="X18" s="187">
        <f t="shared" si="15"/>
        <v>768</v>
      </c>
      <c r="Y18" s="187">
        <f t="shared" si="15"/>
        <v>0</v>
      </c>
      <c r="Z18" s="187">
        <f t="shared" si="15"/>
        <v>0</v>
      </c>
      <c r="AA18" s="187">
        <f t="shared" si="15"/>
        <v>0</v>
      </c>
      <c r="AB18" s="187">
        <f t="shared" si="15"/>
        <v>0</v>
      </c>
      <c r="AC18" s="187">
        <f t="shared" si="15"/>
        <v>0</v>
      </c>
      <c r="AD18" s="187">
        <f t="shared" si="15"/>
        <v>10</v>
      </c>
      <c r="AE18" s="187">
        <f t="shared" si="15"/>
        <v>10</v>
      </c>
      <c r="AF18" s="187">
        <f t="shared" si="15"/>
        <v>0</v>
      </c>
      <c r="AG18" s="187">
        <f t="shared" si="15"/>
        <v>0</v>
      </c>
      <c r="AH18" s="187">
        <f t="shared" si="15"/>
        <v>0</v>
      </c>
      <c r="AI18" s="187">
        <f t="shared" si="15"/>
        <v>0</v>
      </c>
      <c r="AJ18" s="187">
        <f t="shared" si="15"/>
        <v>0</v>
      </c>
      <c r="AK18" s="187">
        <f t="shared" si="15"/>
        <v>0</v>
      </c>
      <c r="AL18" s="187">
        <f t="shared" si="15"/>
        <v>11</v>
      </c>
      <c r="AM18" s="187">
        <f t="shared" si="15"/>
        <v>11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568</v>
      </c>
      <c r="AZ18" s="187">
        <f>SUBTOTAL(9,AZ14:AZ17)</f>
        <v>1503</v>
      </c>
      <c r="BA18" s="187">
        <f>SUBTOTAL(9,BA14:BA17)</f>
        <v>1521</v>
      </c>
      <c r="BB18" s="187">
        <f>SUBTOTAL(9,BB14:BB17)</f>
        <v>554</v>
      </c>
      <c r="BC18" s="187">
        <f>SUBTOTAL(9,BC14:BC17)</f>
        <v>215</v>
      </c>
      <c r="BD18" s="208">
        <f>IF(ISNUMBER(BA18/AZ18),BA18/AZ18," - ")</f>
        <v>1.0119760479041917</v>
      </c>
      <c r="BE18" s="209">
        <f>IF(ISNUMBER(BB18/BA18),BB18/BA18, " - ")</f>
        <v>0.36423405654174884</v>
      </c>
      <c r="BF18" s="209">
        <f>IF(ISNUMBER(BC18/BA18),BC18/BA18, " - ")</f>
        <v>0.14135437212360288</v>
      </c>
      <c r="BG18" s="210">
        <f>IF(ISNUMBER((AY18+AZ18)/BA18),(AY18+AZ18)/BA18," - ")</f>
        <v>1.3616042077580539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2029</v>
      </c>
      <c r="J19" s="134">
        <f t="shared" si="18"/>
        <v>3199</v>
      </c>
      <c r="K19" s="134">
        <f t="shared" si="18"/>
        <v>2809</v>
      </c>
      <c r="L19" s="134">
        <f t="shared" si="18"/>
        <v>2210</v>
      </c>
      <c r="M19" s="134">
        <f t="shared" si="18"/>
        <v>516</v>
      </c>
      <c r="N19" s="134">
        <f t="shared" si="18"/>
        <v>1403</v>
      </c>
      <c r="O19" s="134">
        <f t="shared" si="18"/>
        <v>461</v>
      </c>
      <c r="P19" s="134">
        <f t="shared" si="18"/>
        <v>410</v>
      </c>
      <c r="Q19" s="134">
        <f t="shared" si="18"/>
        <v>194</v>
      </c>
      <c r="R19" s="134">
        <f t="shared" si="18"/>
        <v>1732</v>
      </c>
      <c r="S19" s="134">
        <f t="shared" si="18"/>
        <v>1564</v>
      </c>
      <c r="T19" s="134">
        <f t="shared" si="18"/>
        <v>2668</v>
      </c>
      <c r="U19" s="134">
        <f t="shared" si="18"/>
        <v>2262</v>
      </c>
      <c r="V19" s="134">
        <f t="shared" si="18"/>
        <v>2029</v>
      </c>
      <c r="W19" s="134">
        <f t="shared" si="18"/>
        <v>401</v>
      </c>
      <c r="X19" s="134">
        <f t="shared" si="18"/>
        <v>979</v>
      </c>
      <c r="Y19" s="134">
        <f t="shared" si="18"/>
        <v>34</v>
      </c>
      <c r="Z19" s="134">
        <f t="shared" si="18"/>
        <v>64</v>
      </c>
      <c r="AA19" s="134">
        <f t="shared" si="18"/>
        <v>72</v>
      </c>
      <c r="AB19" s="134">
        <f t="shared" si="18"/>
        <v>54</v>
      </c>
      <c r="AC19" s="134">
        <f t="shared" si="18"/>
        <v>0</v>
      </c>
      <c r="AD19" s="134">
        <f t="shared" si="18"/>
        <v>10</v>
      </c>
      <c r="AE19" s="134">
        <f t="shared" si="18"/>
        <v>10</v>
      </c>
      <c r="AF19" s="134">
        <f t="shared" si="18"/>
        <v>0</v>
      </c>
      <c r="AG19" s="134">
        <f t="shared" si="18"/>
        <v>11</v>
      </c>
      <c r="AH19" s="134">
        <f t="shared" si="18"/>
        <v>57</v>
      </c>
      <c r="AI19" s="134">
        <f t="shared" si="18"/>
        <v>34</v>
      </c>
      <c r="AJ19" s="134">
        <f t="shared" si="18"/>
        <v>34</v>
      </c>
      <c r="AK19" s="134">
        <f t="shared" si="18"/>
        <v>0</v>
      </c>
      <c r="AL19" s="134">
        <f t="shared" si="18"/>
        <v>11</v>
      </c>
      <c r="AM19" s="134">
        <f t="shared" si="18"/>
        <v>11</v>
      </c>
      <c r="AN19" s="213">
        <f t="shared" si="18"/>
        <v>0</v>
      </c>
      <c r="AO19" s="214">
        <v>3</v>
      </c>
      <c r="AP19" s="214">
        <v>2</v>
      </c>
      <c r="AQ19" s="214">
        <v>2</v>
      </c>
      <c r="AR19" s="214">
        <v>2</v>
      </c>
      <c r="AS19" s="156">
        <f t="shared" si="18"/>
        <v>0</v>
      </c>
      <c r="AT19" s="156">
        <f t="shared" si="18"/>
        <v>0</v>
      </c>
      <c r="AU19" s="214"/>
      <c r="AV19" s="215"/>
      <c r="AW19" s="214"/>
      <c r="AX19" s="215"/>
      <c r="AY19" s="133">
        <f>SUBTOTAL(9,AY9:AY18)</f>
        <v>1575</v>
      </c>
      <c r="AZ19" s="134">
        <f>SUBTOTAL(9,AZ9:AZ18)</f>
        <v>2725</v>
      </c>
      <c r="BA19" s="134">
        <f>SUBTOTAL(9,BA9:BA18)</f>
        <v>2296</v>
      </c>
      <c r="BB19" s="134">
        <f>SUBTOTAL(9,BB9:BB18)</f>
        <v>2063</v>
      </c>
      <c r="BC19" s="135">
        <f>SUBTOTAL(9,BC9:BC18)</f>
        <v>428</v>
      </c>
      <c r="BD19" s="216">
        <f>IF(ISNUMBER(BA19/AZ19),BA19/AZ19," - ")</f>
        <v>0.8425688073394495</v>
      </c>
      <c r="BE19" s="213">
        <f>IF(ISNUMBER(BB19/BA19),BB19/BA19, " - ")</f>
        <v>0.89851916376306618</v>
      </c>
      <c r="BF19" s="213">
        <f>IF(ISNUMBER(BC19/BA19),BC19/BA19, " - ")</f>
        <v>0.18641114982578397</v>
      </c>
      <c r="BG19" s="135">
        <f>IF(ISNUMBER((AY19+AZ19)/BA19),(AY19+AZ19)/BA19," - ")</f>
        <v>1.872822299651568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21kw2AK4O+aKBOKiJJKfOaKQ4NV7WbzvfMhZfE/I6874QLTfVAwzSRObqGPZuAmCz5A8722XooUWcowPxbzQ==" saltValue="aOXhBYzDSArmWey0sGaQ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1mCSf2YxcfUOUp36VdbVX1e3zxvOyl4CAhS1+GLZTzKSqhTz42VTpdR7YVyIhfxLmCRSm/duAVm7Uv5t8LkwA==" saltValue="7DbUbM5k9cbBW7mHb+42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QUINTANAR DE LA ORDEN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0.7142857142857143</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64</v>
      </c>
      <c r="O12" s="337"/>
      <c r="P12" s="337"/>
      <c r="Q12" s="229">
        <f>IF(ISNUMBER(Datos!P12),Datos!P12,0)</f>
        <v>322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1658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273</v>
      </c>
      <c r="BD12" s="232">
        <f>IF(ISNUMBER(Datos!N12),Datos!N12," - ")</f>
        <v>631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0.81265508684863519</v>
      </c>
      <c r="BH12" s="263">
        <f>IF(ISNUMBER(((IF(J_V="SI",Datos!L12/Datos!K12,(Datos!L12+Datos!AB12)/(Datos!K12+Datos!AA12)))*11)/factor_trimestre),((IF(J_V="SI",Datos!L12/Datos!K12,(Datos!L12+Datos!AB12)/(Datos!K12+Datos!AA12)))*11)/factor_trimestre," - ")</f>
        <v>13.628244274809159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0.15459610027855153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64</v>
      </c>
      <c r="O13" s="903">
        <f t="shared" si="0"/>
        <v>0</v>
      </c>
      <c r="P13" s="903">
        <f t="shared" si="0"/>
        <v>0</v>
      </c>
      <c r="Q13" s="902">
        <f t="shared" si="0"/>
        <v>322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100</v>
      </c>
      <c r="AD13" s="902">
        <f t="shared" si="1"/>
        <v>0</v>
      </c>
      <c r="AE13" s="902">
        <f t="shared" si="1"/>
        <v>0</v>
      </c>
      <c r="AF13" s="902">
        <f t="shared" si="1"/>
        <v>5</v>
      </c>
      <c r="AG13" s="902">
        <f t="shared" si="1"/>
        <v>0</v>
      </c>
      <c r="AH13" s="902">
        <f t="shared" si="1"/>
        <v>54</v>
      </c>
      <c r="AI13" s="902">
        <f t="shared" si="1"/>
        <v>0</v>
      </c>
      <c r="AJ13" s="902">
        <f t="shared" si="1"/>
        <v>0</v>
      </c>
      <c r="AK13" s="902">
        <f t="shared" si="1"/>
        <v>0</v>
      </c>
      <c r="AL13" s="902">
        <f t="shared" si="1"/>
        <v>0</v>
      </c>
      <c r="AM13" s="902">
        <f t="shared" si="1"/>
        <v>1658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277</v>
      </c>
      <c r="BD13" s="902">
        <f t="shared" si="1"/>
        <v>631</v>
      </c>
      <c r="BE13" s="902">
        <f t="shared" si="1"/>
        <v>0</v>
      </c>
      <c r="BF13" s="902">
        <f t="shared" si="1"/>
        <v>0</v>
      </c>
      <c r="BG13" s="902">
        <f>IF(ISNUMBER(Datos!K13/Datos!J13),Datos!K13/Datos!J13," - ")</f>
        <v>0.79935691318327973</v>
      </c>
      <c r="BH13" s="906">
        <f>IF(ISNUMBER(((Datos!L13/Datos!K13)*11)/factor_trimestre),((Datos!L13/Datos!K13)*11)/factor_trimestre," - ")</f>
        <v>13.929203539823009</v>
      </c>
      <c r="BI13" s="902">
        <f>IF(ISNUMBER('Resol  Asuntos'!D13/NºAsuntos!G13),'Resol  Asuntos'!D13/NºAsuntos!G13," - ")</f>
        <v>0.21064638783269962</v>
      </c>
      <c r="BJ13" s="902" t="str">
        <f>IF(ISNUMBER(Datos!CI13/Datos!CJ13),Datos!CI13/Datos!CJ13," - ")</f>
        <v xml:space="preserve"> - </v>
      </c>
      <c r="BK13" s="902">
        <f>SUBTOTAL(9,BK8:BK12)</f>
        <v>0</v>
      </c>
      <c r="BL13" s="902">
        <f>IF(ISNUMBER((I13-AB13+L13)/(F13)),(I13-AB13+L13)/(F13)," - ")</f>
        <v>-1.6666666666666667</v>
      </c>
      <c r="BM13" s="907">
        <f>SUBTOTAL(9,BM9:BM12)</f>
        <v>0.15459610027855153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548</v>
      </c>
      <c r="G16" s="601">
        <f>IF(ISNUMBER(IF(D_I="SI",Datos!I16,Datos!I16+Datos!AC16)),IF(D_I="SI",Datos!I16,Datos!I16+Datos!AC16)," - ")</f>
        <v>544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1429</v>
      </c>
      <c r="AC16" s="229">
        <f>IF(ISNUMBER(Datos!Q16),Datos!Q16," - ")</f>
        <v>94</v>
      </c>
      <c r="AD16" s="337"/>
      <c r="AE16" s="487"/>
      <c r="AF16" s="599">
        <f>IF(ISNUMBER(IF(D_I="SI",Datos!L16,Datos!L16+Datos!AF16)),IF(D_I="SI",Datos!L16,Datos!L16+Datos!AF16)," - ")</f>
        <v>629</v>
      </c>
      <c r="AG16" s="337"/>
      <c r="AH16" s="337"/>
      <c r="AI16" s="337"/>
      <c r="AJ16" s="337"/>
      <c r="AK16" s="337"/>
      <c r="AL16" s="482"/>
      <c r="AM16" s="338">
        <f>IF(ISNUMBER(Datos!R16),Datos!R16," - ")</f>
        <v>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226</v>
      </c>
      <c r="BD16" s="232">
        <f>IF(ISNUMBER(Datos!N16),Datos!N16," - ")</f>
        <v>692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0.94635761589403977</v>
      </c>
      <c r="BH16" s="263">
        <f>IF(ISNUMBER(((IF(D_I="SI",Datos!L16/Datos!K16,(Datos!L16+Datos!AF16)/(Datos!K16+Datos!AE16)))*11)/factor_trimestre),((IF(D_I="SI",Datos!L16/Datos!K16,(Datos!L16+Datos!AF16)/(Datos!K16+Datos!AE16)))*11)/factor_trimestre," - ")</f>
        <v>4.8418474457662697</v>
      </c>
      <c r="BI16" s="246">
        <f>IF(ISNUMBER('Resol  Asuntos'!D16/NºAsuntos!G16),'Resol  Asuntos'!D16/NºAsuntos!G16," - ")</f>
        <v>0.15815255423372987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137</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1.0223880597014925</v>
      </c>
      <c r="BH17" s="263">
        <f>IF(ISNUMBER(((IF(D_I="SI",Datos!L17/Datos!K17,(Datos!L17+Datos!AF17)/(Datos!K17+Datos!AE17)))*11)/factor_trimestre),((IF(D_I="SI",Datos!L17/Datos!K17,(Datos!L17+Datos!AF17)/(Datos!K17+Datos!AE17)))*11)/factor_trimestre," - ")</f>
        <v>0.56204379562043794</v>
      </c>
      <c r="BI17" s="246">
        <f>IF(ISNUMBER('Resol  Asuntos'!D17/NºAsuntos!G17),'Resol  Asuntos'!D17/NºAsuntos!G17," - ")</f>
        <v>9.4890510948905105E-2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548</v>
      </c>
      <c r="G18" s="901">
        <f>SUBTOTAL(9,G15:G17)</f>
        <v>554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1566</v>
      </c>
      <c r="AC18" s="902">
        <f t="shared" si="4"/>
        <v>94</v>
      </c>
      <c r="AD18" s="902">
        <f t="shared" si="4"/>
        <v>0</v>
      </c>
      <c r="AE18" s="902">
        <f t="shared" si="4"/>
        <v>0</v>
      </c>
      <c r="AF18" s="902">
        <f t="shared" si="4"/>
        <v>636</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239</v>
      </c>
      <c r="BD18" s="902">
        <f t="shared" si="4"/>
        <v>772</v>
      </c>
      <c r="BE18" s="902">
        <f t="shared" si="4"/>
        <v>0</v>
      </c>
      <c r="BF18" s="902">
        <f t="shared" si="4"/>
        <v>0</v>
      </c>
      <c r="BG18" s="902">
        <f>IF(ISNUMBER(Datos!K18/Datos!J18),Datos!K18/Datos!J18," - ")</f>
        <v>0.95255474452554745</v>
      </c>
      <c r="BH18" s="906">
        <f>IF(ISNUMBER(((Datos!L18/Datos!K18)*11)/factor_trimestre),((Datos!L18/Datos!K18)*11)/factor_trimestre," - ")</f>
        <v>4.4674329501915704</v>
      </c>
      <c r="BI18" s="902">
        <f>SUBTOTAL(9,BI15:BI17)</f>
        <v>0.25304306518263497</v>
      </c>
      <c r="BJ18" s="902">
        <f>SUBTOTAL(9,BJ15:BJ17)</f>
        <v>0</v>
      </c>
      <c r="BK18" s="902">
        <f>SUBTOTAL(9,BK15:BK17)</f>
        <v>0</v>
      </c>
      <c r="BL18" s="902">
        <f>IF(ISNUMBER((I18-AB18+L18)/(F18)),(I18-AB18+L18)/(F18)," - ")</f>
        <v>-2.8576642335766422</v>
      </c>
      <c r="BM18" s="908">
        <f>IF(ISNUMBER((Datos!P18-Datos!Q18)/(Datos!R18-Datos!P18+Datos!Q18)),(Datos!P18-Datos!Q18)/(Datos!R18-Datos!P18+Datos!Q18)," - ")</f>
        <v>-7.4999999999999997E-2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551</v>
      </c>
      <c r="G19" s="823">
        <f t="shared" si="6"/>
        <v>557</v>
      </c>
      <c r="H19" s="825">
        <f t="shared" si="6"/>
        <v>0</v>
      </c>
      <c r="I19" s="823">
        <f t="shared" si="6"/>
        <v>0</v>
      </c>
      <c r="J19" s="825">
        <f t="shared" si="6"/>
        <v>0</v>
      </c>
      <c r="K19" s="825">
        <f t="shared" si="6"/>
        <v>0</v>
      </c>
      <c r="L19" s="884">
        <f t="shared" si="6"/>
        <v>0</v>
      </c>
      <c r="M19" s="884">
        <f t="shared" si="6"/>
        <v>0</v>
      </c>
      <c r="N19" s="884">
        <f t="shared" si="6"/>
        <v>64</v>
      </c>
      <c r="O19" s="884">
        <f t="shared" si="6"/>
        <v>0</v>
      </c>
      <c r="P19" s="884">
        <f t="shared" si="6"/>
        <v>0</v>
      </c>
      <c r="Q19" s="825">
        <f t="shared" si="6"/>
        <v>410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1571</v>
      </c>
      <c r="AC19" s="824">
        <f t="shared" si="7"/>
        <v>194</v>
      </c>
      <c r="AD19" s="824">
        <f t="shared" si="7"/>
        <v>0</v>
      </c>
      <c r="AE19" s="824">
        <f t="shared" si="7"/>
        <v>0</v>
      </c>
      <c r="AF19" s="831">
        <f t="shared" si="7"/>
        <v>641</v>
      </c>
      <c r="AG19" s="831">
        <f t="shared" si="7"/>
        <v>0</v>
      </c>
      <c r="AH19" s="831">
        <f t="shared" si="7"/>
        <v>54</v>
      </c>
      <c r="AI19" s="831">
        <f t="shared" si="7"/>
        <v>0</v>
      </c>
      <c r="AJ19" s="824">
        <f t="shared" si="7"/>
        <v>0</v>
      </c>
      <c r="AK19" s="831">
        <f t="shared" si="7"/>
        <v>0</v>
      </c>
      <c r="AL19" s="831">
        <f t="shared" si="7"/>
        <v>0</v>
      </c>
      <c r="AM19" s="831">
        <f t="shared" si="7"/>
        <v>1732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516</v>
      </c>
      <c r="BD19" s="823">
        <f t="shared" si="7"/>
        <v>1403</v>
      </c>
      <c r="BE19" s="823">
        <f t="shared" si="7"/>
        <v>0</v>
      </c>
      <c r="BF19" s="833">
        <f t="shared" si="7"/>
        <v>0</v>
      </c>
      <c r="BG19" s="918">
        <f>IF(ISNUMBER(Datos!K19/Datos!J19),Datos!K19/Datos!J19," - ")</f>
        <v>0.87808690215692409</v>
      </c>
      <c r="BH19" s="918">
        <f>IF(ISNUMBER(((Datos!L19/Datos!K19)*11)/factor_trimestre),((Datos!L19/Datos!K19)*11)/factor_trimestre," - ")</f>
        <v>8.6543253826984703</v>
      </c>
      <c r="BI19" s="816">
        <f>IF(ISNUMBER(Datos!J19/Datos!I19),Datos!J19/Datos!I19," - ")</f>
        <v>1.5766387382947264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-2.851179673321234</v>
      </c>
      <c r="BM19" s="892">
        <f>IF(ISNUMBER((Datos!P19-Datos!Q19+R19)/(Datos!R19-Datos!P19+Datos!Q19-R19)),(Datos!P19-Datos!Q19+R19)/(Datos!R19-Datos!P19+Datos!Q19-R19)," - ")</f>
        <v>0.14248021108179421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314.65589670834601</v>
      </c>
      <c r="G21" s="555">
        <f>IF(ISNUMBER(STDEV(G8:G18)),STDEV(G8:G18),"-")</f>
        <v>297.81319648397044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796.67797760450242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128.16863890983629</v>
      </c>
      <c r="BD21" s="554"/>
      <c r="BE21" s="554">
        <f>IF(ISNUMBER(STDEV(BE8:BE18)),STDEV(BE8:BE18),"-")</f>
        <v>0</v>
      </c>
      <c r="BF21" s="559">
        <f>IF(ISNUMBER(STDEV(BF8:BF18)),STDEV(BF8:BF18),"-")</f>
        <v>0</v>
      </c>
      <c r="BG21" s="778">
        <f>IF(ISNUMBER(STDEV(BG8:BG18)),STDEV(BG8:BG18),"-")</f>
        <v>0.11684756976994698</v>
      </c>
      <c r="BH21" s="779">
        <f>IF(ISNUMBER(STDEV(BH8:BH18)),STDEV(BH8:BH18),"-")</f>
        <v>5.5421673981122925</v>
      </c>
      <c r="BI21" s="252">
        <f>IF(ISNUMBER(STDEV(BI8:BI18)),STDEV(BI8:BI18),"-")</f>
        <v>6.8295332593532834E-2</v>
      </c>
      <c r="BJ21" s="233" t="str">
        <f>IF(ISNUMBER(BL21/BM21),BL21/BM21," - ")</f>
        <v xml:space="preserve"> - </v>
      </c>
      <c r="BK21" s="578"/>
      <c r="BL21" s="562">
        <f>IF(ISNUMBER(STDEV(BL8:BL18)),STDEV(BL8:BL18),"-")</f>
        <v>0.84216245593872208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e+rXCFaMbudYPnlDT/cCwBabC7L/xjrKOAM05olelGmzi38RRT9T4T4ef7AhpenNQhDQWQ5Y3GNdr4Yj8v6Iw==" saltValue="yqxVGnzuzp/vg5cWX94R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QUINTANAR DE LA ORDEN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322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100</v>
      </c>
      <c r="AA12" s="335" t="str">
        <f>IF(ISNUMBER(IF(J_V="SI",Datos!L12,Datos!L12+Datos!AB12)-IF(Monitorios="SI",Datos!CD12,0)),
                          IF(J_V="SI",Datos!L12,Datos!L12+Datos!AB12)-IF(Monitorios="SI",Datos!CD12,0),
                          " - ")</f>
        <v xml:space="preserve"> - </v>
      </c>
      <c r="AB12" s="337"/>
      <c r="AC12" s="337"/>
      <c r="AD12" s="487"/>
      <c r="AE12" s="487">
        <f>IF(ISNUMBER(Datos!R12),Datos!R12," - ")</f>
        <v>1658</v>
      </c>
      <c r="AF12" s="232" t="str">
        <f>IF(ISNUMBER(Datos!BV12),Datos!BV12," - ")</f>
        <v xml:space="preserve"> - </v>
      </c>
      <c r="AG12" s="228" t="str">
        <f>IF(ISNUMBER(Datos!DV12),Datos!DV12," - ")</f>
        <v xml:space="preserve"> - </v>
      </c>
      <c r="AH12" s="301"/>
      <c r="AI12" s="230"/>
      <c r="AJ12" s="228">
        <f>IF(ISNUMBER(Datos!M12),Datos!M12," - ")</f>
        <v>273</v>
      </c>
      <c r="AK12" s="232">
        <f>IF(ISNUMBER(Datos!N12),Datos!N12," - ")</f>
        <v>631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13.628244274809159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0.15459610027855153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322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100</v>
      </c>
      <c r="AA13" s="903">
        <f t="shared" si="2"/>
        <v>5</v>
      </c>
      <c r="AB13" s="903">
        <f t="shared" si="2"/>
        <v>0</v>
      </c>
      <c r="AC13" s="903">
        <f t="shared" si="2"/>
        <v>0</v>
      </c>
      <c r="AD13" s="903">
        <f t="shared" si="2"/>
        <v>0</v>
      </c>
      <c r="AE13" s="903">
        <f t="shared" si="2"/>
        <v>1658</v>
      </c>
      <c r="AF13" s="911">
        <f t="shared" si="2"/>
        <v>0</v>
      </c>
      <c r="AG13" s="911">
        <f t="shared" si="2"/>
        <v>0</v>
      </c>
      <c r="AH13" s="911">
        <f t="shared" si="2"/>
        <v>0</v>
      </c>
      <c r="AI13" s="911">
        <f t="shared" si="2"/>
        <v>0</v>
      </c>
      <c r="AJ13" s="911">
        <f t="shared" si="2"/>
        <v>277</v>
      </c>
      <c r="AK13" s="911">
        <f t="shared" si="2"/>
        <v>631</v>
      </c>
      <c r="AL13" s="911">
        <f t="shared" si="2"/>
        <v>0</v>
      </c>
      <c r="AM13" s="911">
        <f t="shared" si="2"/>
        <v>0</v>
      </c>
      <c r="AN13" s="911">
        <f t="shared" si="2"/>
        <v>0</v>
      </c>
      <c r="AO13" s="907">
        <f>IF(ISNUMBER(((NºAsuntos!I13/NºAsuntos!G13)*11)/factor_trimestre),((NºAsuntos!I13/NºAsuntos!G13)*11)/factor_trimestre," - ")</f>
        <v>13.618250950570342</v>
      </c>
      <c r="AP13" s="913" t="str">
        <f>IF(ISNUMBER(Datos!CI13/Datos!CJ13),Datos!CI13/Datos!CJ13," - ")</f>
        <v xml:space="preserve"> - </v>
      </c>
      <c r="AQ13" s="931">
        <f t="shared" ref="AQ13:AV13" si="3">SUBTOTAL(9,AQ9:AQ12)</f>
        <v>0</v>
      </c>
      <c r="AR13" s="931">
        <f t="shared" si="3"/>
        <v>0.15459610027855153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548</v>
      </c>
      <c r="G16" s="228">
        <f>IF(ISNUMBER(IF(D_I="SI",Datos!I16,Datos!I16+Datos!AC16)),IF(D_I="SI",Datos!I16,Datos!I16+Datos!AC16)," - ")</f>
        <v>544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1429</v>
      </c>
      <c r="Z16" s="622">
        <f>IF(ISNUMBER(Datos!Q16),Datos!Q16," - ")</f>
        <v>94</v>
      </c>
      <c r="AA16" s="335">
        <f>IF(ISNUMBER(IF(D_I="SI",Datos!L16,Datos!L16+Datos!AF16)),IF(D_I="SI",Datos!L16,Datos!L16+Datos!AF16)," - ")</f>
        <v>629</v>
      </c>
      <c r="AB16" s="337"/>
      <c r="AC16" s="337"/>
      <c r="AD16" s="487"/>
      <c r="AE16" s="487">
        <f>IF(ISNUMBER(Datos!R16),Datos!R16," - ")</f>
        <v>74</v>
      </c>
      <c r="AF16" s="232" t="str">
        <f>IF(ISNUMBER(Datos!BV16),Datos!BV16," - ")</f>
        <v xml:space="preserve"> - </v>
      </c>
      <c r="AG16" s="228"/>
      <c r="AH16" s="301"/>
      <c r="AI16" s="230"/>
      <c r="AJ16" s="228">
        <f>IF(ISNUMBER(Datos!M16),Datos!M16," - ")</f>
        <v>226</v>
      </c>
      <c r="AK16" s="232">
        <f>IF(ISNUMBER(Datos!N16),Datos!N16," - ")</f>
        <v>692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4.8418474457662697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137</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v>
      </c>
      <c r="AK17" s="232">
        <f>IF(ISNUMBER(Datos!N17),Datos!N17," - ")</f>
        <v>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0.56204379562043794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548</v>
      </c>
      <c r="G18" s="901">
        <f>SUBTOTAL(9,G15:G17)</f>
        <v>554</v>
      </c>
      <c r="H18" s="935">
        <f>SUBTOTAL(9,H15:H17)</f>
        <v>0</v>
      </c>
      <c r="I18" s="914">
        <f>SUBTOTAL(9,I15:I17)</f>
        <v>0</v>
      </c>
      <c r="J18" s="870">
        <f>SUBTOTAL(9,J14:J17)</f>
        <v>0</v>
      </c>
      <c r="K18" s="935">
        <f t="shared" ref="K18:S18" si="4">SUBTOTAL(9,K15:K17)</f>
        <v>0</v>
      </c>
      <c r="L18" s="935">
        <f t="shared" si="4"/>
        <v>0</v>
      </c>
      <c r="M18" s="935">
        <f t="shared" si="4"/>
        <v>0</v>
      </c>
      <c r="N18" s="935">
        <f t="shared" si="4"/>
        <v>88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1566</v>
      </c>
      <c r="Z18" s="935">
        <f t="shared" si="5"/>
        <v>94</v>
      </c>
      <c r="AA18" s="935">
        <f t="shared" si="5"/>
        <v>636</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239</v>
      </c>
      <c r="AK18" s="935">
        <f t="shared" si="5"/>
        <v>772</v>
      </c>
      <c r="AL18" s="935">
        <f t="shared" si="5"/>
        <v>0</v>
      </c>
      <c r="AM18" s="935">
        <f t="shared" si="5"/>
        <v>0</v>
      </c>
      <c r="AN18" s="935">
        <f t="shared" si="5"/>
        <v>0</v>
      </c>
      <c r="AO18" s="937">
        <f>IF(ISNUMBER(((NºAsuntos!I18/NºAsuntos!G18)*11)/factor_trimestre),((NºAsuntos!I18/NºAsuntos!G18)*11)/factor_trimestre," - ")</f>
        <v>4.4674329501915704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551</v>
      </c>
      <c r="G19" s="823">
        <f t="shared" si="7"/>
        <v>557</v>
      </c>
      <c r="H19" s="824">
        <f t="shared" si="7"/>
        <v>0</v>
      </c>
      <c r="I19" s="823">
        <f t="shared" si="7"/>
        <v>0</v>
      </c>
      <c r="J19" s="825">
        <f t="shared" si="7"/>
        <v>0</v>
      </c>
      <c r="K19" s="823">
        <f t="shared" si="7"/>
        <v>0</v>
      </c>
      <c r="L19" s="826">
        <f t="shared" si="7"/>
        <v>0</v>
      </c>
      <c r="M19" s="823">
        <f t="shared" si="7"/>
        <v>0</v>
      </c>
      <c r="N19" s="824">
        <f t="shared" si="7"/>
        <v>410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1571</v>
      </c>
      <c r="Z19" s="830">
        <f t="shared" si="8"/>
        <v>194</v>
      </c>
      <c r="AA19" s="831">
        <f t="shared" si="8"/>
        <v>641</v>
      </c>
      <c r="AB19" s="831">
        <f t="shared" si="8"/>
        <v>0</v>
      </c>
      <c r="AC19" s="831">
        <f t="shared" si="8"/>
        <v>0</v>
      </c>
      <c r="AD19" s="832">
        <f t="shared" si="8"/>
        <v>0</v>
      </c>
      <c r="AE19" s="832">
        <f t="shared" si="8"/>
        <v>1732</v>
      </c>
      <c r="AF19" s="833">
        <f t="shared" si="8"/>
        <v>0</v>
      </c>
      <c r="AG19" s="834">
        <f t="shared" si="8"/>
        <v>0</v>
      </c>
      <c r="AH19" s="835">
        <f t="shared" si="8"/>
        <v>0</v>
      </c>
      <c r="AI19" s="833">
        <f t="shared" si="8"/>
        <v>0</v>
      </c>
      <c r="AJ19" s="823">
        <f t="shared" si="8"/>
        <v>516</v>
      </c>
      <c r="AK19" s="823">
        <f t="shared" si="8"/>
        <v>1403</v>
      </c>
      <c r="AL19" s="823">
        <f t="shared" si="8"/>
        <v>0</v>
      </c>
      <c r="AM19" s="836">
        <f t="shared" si="8"/>
        <v>0</v>
      </c>
      <c r="AN19" s="826">
        <f>IF(ISNUMBER(Datos!K19/Datos!J19),Datos!K19/Datos!J19," - ")</f>
        <v>0.87808690215692409</v>
      </c>
      <c r="AO19" s="826">
        <f>IF(ISNUMBER(FIND("06",Criterios!A8,1)),(IF(ISNUMBER(((Datos!R19/Datos!Q19)*11)/factor_trimestre),((Datos!R19/Datos!Q19)*11)/factor_trimestre," - ")),(IF(ISNUMBER(((Datos!L19/Datos!K19)*11)/factor_trimestre),((Datos!L19/Datos!K19)*11)/factor_trimestre," - ")))</f>
        <v>8.6543253826984703</v>
      </c>
      <c r="AP19" s="837" t="str">
        <f>IF(ISNUMBER(Datos!CI19/Datos!CJ19),Datos!CI19/Datos!CJ19," - ")</f>
        <v xml:space="preserve"> - </v>
      </c>
      <c r="AQ19" s="837">
        <f>IF(OR(ISNUMBER(FIND("01",Criterios!A8,1)),ISNUMBER(FIND("02",Criterios!A8,1)),ISNUMBER(FIND("03",Criterios!A8,1)),ISNUMBER(FIND("04",Criterios!A8,1))),(J19-Y19+K19)/(F19-K19),(I19-Y19+K19)/(F19-K19))</f>
        <v>-2.851179673321234</v>
      </c>
      <c r="AR19" s="837">
        <f>IF(ISNUMBER((Datos!P19-Datos!Q19+O19)/(Datos!R19-Datos!P19+Datos!Q19-O19)),(Datos!P19-Datos!Q19+O19)/(Datos!R19-Datos!P19+Datos!Q19-O19)," - ")</f>
        <v>0.14248021108179421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314.65589670834601</v>
      </c>
      <c r="G21" s="555">
        <f>IF(ISNUMBER(STDEV(G8:G18)),STDEV(G8:G18),"-")</f>
        <v>297.81319648397044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128.16863890983629</v>
      </c>
      <c r="AK21" s="255"/>
      <c r="AL21" s="255">
        <f>IF(ISNUMBER(STDEV(AL8:AL18)),STDEV(AL8:AL18),"-")</f>
        <v>0</v>
      </c>
      <c r="AM21" s="257">
        <f>IF(ISNUMBER(STDEV(AM8:AM18)),STDEV(AM8:AM18),"-")</f>
        <v>0</v>
      </c>
      <c r="AN21" s="542">
        <f>IF(ISNUMBER(STDEV(AN8:AN18)),STDEV(AN8:AN18),"-")</f>
        <v>0</v>
      </c>
      <c r="AO21" s="543">
        <f>IF(ISNUMBER(STDEV(AO8:AO18)),STDEV(AO8:AO18),"-")</f>
        <v>5.4775124610869037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qUxu+mtSPUjLGAIlt693A7rPddw4brTOAJEyPPMsKoUkV/IMM+fCbZt9XRnwsMj6nzGqEWKIf/I2ide88fSRg==" saltValue="/w/OGu1ilOCaXWV0G3y/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yUSQk8FYENW0byfRqQemTJ8ZJdNUFhmfniZaTQn9d31x7+ux/3MMQq2VMkferxh0Nvch1ftpVO2zZ4LvtDm8A==" saltValue="d7Fz4hY4La1D3lEqlKYW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LHQ1RBsP+T6kIfuRnAzs11H4e4wQfA7pcbafvrZGqxrSRVwzVEszOfd5OvROHe+CFccvLrEnegf8TheRZ7SQ==" saltValue="QhFtJbCuGPb5Sdtt/+Ne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QUINTANAR DE LA ORDEN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0.21064638783269962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0.14894948926895335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tBfMuR8Y/YBvl7dyKZsuCS45jewDW2y1856pzly1tZ8xgkOj4mFNGcw8HKdhJ36h8VIMBtA6j0G4y+o+H4iuQ==" saltValue="b8ge3ZyRRdCdh6M+L/OB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I6ufnd4u7Eu8/Utv8cl0FdSpVnFRTzrmTZsnvzhMOGu4jT/i7VnKxZrmd5lL6h5byto/FsXvbNJTso/dWPbyA==" saltValue="TtvBh4NJFltSmYeU3A5j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QUINTANAR DE LA ORDEN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7</v>
      </c>
      <c r="F10" s="407">
        <f>IF(ISNUMBER(E10/B10),E10/B10," - ")</f>
        <v>7</v>
      </c>
      <c r="G10" s="406">
        <f>IF(ISNUMBER(Datos!K10),Datos!K10," - ")</f>
        <v>5</v>
      </c>
      <c r="H10" s="407">
        <f>IF(ISNUMBER(G10/B10),G10/B10," - ")</f>
        <v>5</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1506</v>
      </c>
      <c r="D12" s="407">
        <f>IF(ISNUMBER(C12/Datos!BH12),C12/Datos!BH12," - ")</f>
        <v>753</v>
      </c>
      <c r="E12" s="406">
        <f>IF(ISNUMBER(IF(J_V="SI",Datos!J12,Datos!J12+Datos!Z12)),IF(J_V="SI",Datos!J12,Datos!J12+Datos!Z12)," - ")</f>
        <v>1612</v>
      </c>
      <c r="F12" s="407">
        <f>IF(ISNUMBER(E12/B12),E12/B12," - ")</f>
        <v>806</v>
      </c>
      <c r="G12" s="406">
        <f>IF(ISNUMBER(IF(J_V="SI",Datos!K12,Datos!K12+Datos!AA12)),IF(J_V="SI",Datos!K12,Datos!K12+Datos!AA12)," - ")</f>
        <v>1310</v>
      </c>
      <c r="H12" s="407">
        <f>IF(ISNUMBER(G12/B12),G12/B12," - ")</f>
        <v>655</v>
      </c>
      <c r="I12" s="406">
        <f>IF(ISNUMBER(IF(J_V="SI",Datos!L12,Datos!L12+Datos!AB12)),IF(J_V="SI",Datos!L12,Datos!L12+Datos!AB12)," - ")</f>
        <v>1623</v>
      </c>
      <c r="J12" s="407">
        <f>IF(ISNUMBER(I12/B12),I12/B12," - ")</f>
        <v>811.5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1509</v>
      </c>
      <c r="D13" s="853" t="str">
        <f>IF(ISNUMBER(C13/Datos!BI13),C13/Datos!BI13," - ")</f>
        <v xml:space="preserve"> - </v>
      </c>
      <c r="E13" s="852">
        <f>SUBTOTAL(9,E8:E12)</f>
        <v>1619</v>
      </c>
      <c r="F13" s="853">
        <f>IF(ISNUMBER(E13/B13),E13/B13," - ")</f>
        <v>809.5</v>
      </c>
      <c r="G13" s="852">
        <f>SUBTOTAL(9,G8:G12)</f>
        <v>1315</v>
      </c>
      <c r="H13" s="853">
        <f>IF(ISNUMBER(G13/B13),G13/B13," - ")</f>
        <v>657.5</v>
      </c>
      <c r="I13" s="852">
        <f>SUBTOTAL(9,I8:I12)</f>
        <v>1628</v>
      </c>
      <c r="J13" s="853">
        <f>IF(ISNUMBER(I13/B13),I13/B13," - ")</f>
        <v>814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544</v>
      </c>
      <c r="D16" s="407">
        <f>IF(ISNUMBER(C16/Datos!BH16),C16/Datos!BH16," - ")</f>
        <v>272</v>
      </c>
      <c r="E16" s="406">
        <f>IF(ISNUMBER(IF(D_I="SI",Datos!J16,Datos!J16+Datos!AD16)),IF(D_I="SI",Datos!J16,Datos!J16+Datos!AD16)," - ")</f>
        <v>1510</v>
      </c>
      <c r="F16" s="407">
        <f>IF(ISNUMBER(E16/B16),E16/B16," - ")</f>
        <v>755</v>
      </c>
      <c r="G16" s="406">
        <f>IF(ISNUMBER(IF(D_I="SI",Datos!K16,Datos!K16+Datos!AE16)),IF(D_I="SI",Datos!K16,Datos!K16+Datos!AE16)," - ")</f>
        <v>1429</v>
      </c>
      <c r="H16" s="407">
        <f>IF(ISNUMBER(G16/B16),G16/B16," - ")</f>
        <v>714.5</v>
      </c>
      <c r="I16" s="406">
        <f>IF(ISNUMBER(IF(D_I="SI",Datos!L16,Datos!L16+Datos!AF16)),IF(D_I="SI",Datos!L16,Datos!L16+Datos!AF16)," - ")</f>
        <v>629</v>
      </c>
      <c r="J16" s="407">
        <f>IF(ISNUMBER(I16/B16),I16/B16," - ")</f>
        <v>314.5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134</v>
      </c>
      <c r="F17" s="407">
        <f>IF(ISNUMBER(E17/B17),E17/B17," - ")</f>
        <v>134</v>
      </c>
      <c r="G17" s="406">
        <f>IF(ISNUMBER(IF(D_I="SI",Datos!K17,Datos!K17+Datos!AE17)),IF(D_I="SI",Datos!K17,Datos!K17+Datos!AE17)," - ")</f>
        <v>137</v>
      </c>
      <c r="H17" s="407">
        <f>IF(ISNUMBER(G17/B17),G17/B17," - ")</f>
        <v>137</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554</v>
      </c>
      <c r="D18" s="853" t="str">
        <f>IF(ISNUMBER(C18/Datos!BI18),C18/Datos!BI18," - ")</f>
        <v xml:space="preserve"> - </v>
      </c>
      <c r="E18" s="852">
        <f>SUBTOTAL(9,E14:E17)</f>
        <v>1644</v>
      </c>
      <c r="F18" s="853">
        <f>IF(ISNUMBER(E18/B18),E18/B18," - ")</f>
        <v>822</v>
      </c>
      <c r="G18" s="852">
        <f>SUBTOTAL(9,G14:G17)</f>
        <v>1566</v>
      </c>
      <c r="H18" s="853">
        <f>IF(ISNUMBER(G18/B18),G18/B18," - ")</f>
        <v>783</v>
      </c>
      <c r="I18" s="852">
        <f>SUBTOTAL(9,I14:I17)</f>
        <v>636</v>
      </c>
      <c r="J18" s="853">
        <f>IF(ISNUMBER(I18/B18),I18/B18," - ")</f>
        <v>318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2063</v>
      </c>
      <c r="D19" s="798" t="str">
        <f>IF(ISNUMBER(C19/Datos!BI19),C19/Datos!BI19," - ")</f>
        <v xml:space="preserve"> - </v>
      </c>
      <c r="E19" s="797">
        <f>SUBTOTAL(9,E9:E18)</f>
        <v>3263</v>
      </c>
      <c r="F19" s="798">
        <f>IF(ISNUMBER(E19/B19),E19/B19," - ")</f>
        <v>1631.5</v>
      </c>
      <c r="G19" s="797">
        <f>SUBTOTAL(9,G9:G18)</f>
        <v>2881</v>
      </c>
      <c r="H19" s="798">
        <f>IF(ISNUMBER(G19/B19),G19/B19," - ")</f>
        <v>1440.5</v>
      </c>
      <c r="I19" s="797">
        <f>SUBTOTAL(9,I9:I18)</f>
        <v>2264</v>
      </c>
      <c r="J19" s="798">
        <f>IF(ISNUMBER(I19/B19),I19/B19," - ")</f>
        <v>1132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M77fHV8MJxSg6zVDZK685igJO+lvDoBKYBDa5nLkYwyBQUjOEb7zaAgC79SlcMeIIqSy4/sV0e3DJ0eHpG3QQ==" saltValue="EGYl3QKoM9HBSsBb6PnL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QUINTANAR DE LA ORDEN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322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273</v>
      </c>
      <c r="AM12" s="693">
        <f>IF(ISNUMBER(Datos!N12+DatosP!N16),Datos!N12+DatosP!N16," - ")</f>
        <v>631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13.628244274809159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0.15459610027855153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322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100</v>
      </c>
      <c r="AE13" s="942">
        <f t="shared" si="1"/>
        <v>0</v>
      </c>
      <c r="AF13" s="942">
        <f t="shared" si="1"/>
        <v>5</v>
      </c>
      <c r="AG13" s="942">
        <f t="shared" si="1"/>
        <v>0</v>
      </c>
      <c r="AH13" s="942">
        <f t="shared" si="1"/>
        <v>1658</v>
      </c>
      <c r="AI13" s="942">
        <f t="shared" si="1"/>
        <v>0</v>
      </c>
      <c r="AJ13" s="942">
        <f t="shared" si="1"/>
        <v>0</v>
      </c>
      <c r="AK13" s="942">
        <f t="shared" si="1"/>
        <v>0</v>
      </c>
      <c r="AL13" s="942">
        <f t="shared" si="1"/>
        <v>277</v>
      </c>
      <c r="AM13" s="942">
        <f t="shared" si="1"/>
        <v>631</v>
      </c>
      <c r="AN13" s="942">
        <f t="shared" si="1"/>
        <v>0</v>
      </c>
      <c r="AO13" s="942">
        <f t="shared" si="1"/>
        <v>0</v>
      </c>
      <c r="AP13" s="947">
        <f>IF(ISNUMBER(((Datos!L13/Datos!K13)*11)/factor_trimestre),((Datos!L13/Datos!K13)*11)/factor_trimestre," - ")</f>
        <v>13.929203539823009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-1.6666666666666667</v>
      </c>
      <c r="AU13" s="942" t="str">
        <f>IF(ISNUMBER((DatosP!#REF!-DatosP!#REF!+DatosP!#REF!)/(DatosP!#REF!+DatosP!#REF!-DatosP!#REF!-DatosP!#REF!)),(DatosP!#REF!-DatosP!#REF!+DatosP!#REF!)/(DatosP!#REF!+DatosP!#REF!-DatosP!#REF!-DatosP!#REF!)," - ")</f>
        <v xml:space="preserve"> - </v>
      </c>
      <c r="AV13" s="948">
        <f>SUBTOTAL(9,AV9:AV12)</f>
        <v>0.15459610027855153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4.4674329501915704</v>
      </c>
      <c r="AQ18" s="947">
        <f>IF(ISNUMBER(((Datos!M18/Datos!L18)*11)/factor_trimestre),((Datos!M18/Datos!L18)*11)/factor_trimestre," - ")</f>
        <v>4.1336477987421389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-7.4999999999999997E-2</v>
      </c>
      <c r="AW18" s="949">
        <f>IF(ISNUMBER((Datos!Q18-Datos!R18)/(Datos!S18-Datos!Q18+Datos!R18)),(Datos!Q18-Datos!R18)/(Datos!S18-Datos!Q18+Datos!R18)," - ")</f>
        <v>3.6496350364963501E-2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322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100</v>
      </c>
      <c r="AE19" s="960">
        <f t="shared" si="5"/>
        <v>0</v>
      </c>
      <c r="AF19" s="961">
        <f t="shared" si="5"/>
        <v>5</v>
      </c>
      <c r="AG19" s="961">
        <f t="shared" si="5"/>
        <v>0</v>
      </c>
      <c r="AH19" s="961">
        <f t="shared" si="5"/>
        <v>1658</v>
      </c>
      <c r="AI19" s="961">
        <f t="shared" si="5"/>
        <v>0</v>
      </c>
      <c r="AJ19" s="962">
        <f t="shared" si="5"/>
        <v>0</v>
      </c>
      <c r="AK19" s="962">
        <f t="shared" si="5"/>
        <v>0</v>
      </c>
      <c r="AL19" s="954">
        <f t="shared" si="5"/>
        <v>277</v>
      </c>
      <c r="AM19" s="954">
        <f t="shared" si="5"/>
        <v>631</v>
      </c>
      <c r="AN19" s="954">
        <f t="shared" si="5"/>
        <v>0</v>
      </c>
      <c r="AO19" s="954">
        <f t="shared" si="5"/>
        <v>0</v>
      </c>
      <c r="AP19" s="954">
        <f>IF(ISNUMBER(((Datos!L19/Datos!K19)*11)/factor_trimestre),((Datos!L19/Datos!K19)*11)/factor_trimestre," - ")</f>
        <v>8.6543253826984703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0.14248021108179421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157.63354127003979</v>
      </c>
      <c r="AM21" s="739"/>
      <c r="AN21" s="739">
        <f>IF(ISNUMBER(STDEV(AN8:AN18)),STDEV(AN8:AN18),"-")</f>
        <v>0</v>
      </c>
      <c r="AO21" s="745">
        <f>IF(ISNUMBER(STDEV(AO8:AO18)),STDEV(AO8:AO18),"-")</f>
        <v>0</v>
      </c>
      <c r="AP21" s="782">
        <f>IF(ISNUMBER(STDEV(AP8:AP18)),STDEV(AP8:AP18),"-")</f>
        <v>4.3941104228773806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0SDAZhxibvzijXkwSnIwTr7USI2erlVpLRiOB0MlSdG7/Apon+/x3/oclETr8fXByzeqG/6Dwy1O3XR9EWDI5w==" saltValue="clo65e9lw9kDStUdnioW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QUINTANAR DE LA ORDEN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3kC6eJDOULblDFZHthuqfsN23Y7xNsoAncTIux+MXSO3Bl067nrdDjBRwDWA36VK+VhmWTVWkhDkp+SBjo6cQ==" saltValue="3CRUqM+qoJE9MPIkPpHc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QUINTANAR DE LA ORDEN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273</v>
      </c>
      <c r="E12" s="407">
        <f t="shared" si="0"/>
        <v>136.5</v>
      </c>
      <c r="F12" s="406">
        <f>IF(ISNUMBER(Datos!N12),Datos!N12," - ")</f>
        <v>631</v>
      </c>
      <c r="G12" s="407">
        <f t="shared" si="1"/>
        <v>315.5</v>
      </c>
      <c r="H12" s="406">
        <f>IF(ISNUMBER(Datos!O12),Datos!O12," - ")</f>
        <v>448</v>
      </c>
      <c r="I12" s="407">
        <f t="shared" si="2"/>
        <v>224</v>
      </c>
    </row>
    <row r="13" spans="1:9" ht="14.25" thickTop="1" thickBot="1">
      <c r="A13" s="851" t="str">
        <f>Datos!A13</f>
        <v>TOTAL</v>
      </c>
      <c r="B13" s="852">
        <f>Datos!AO13</f>
        <v>3</v>
      </c>
      <c r="C13" s="854">
        <f>Datos!AR13</f>
        <v>2</v>
      </c>
      <c r="D13" s="852">
        <f>SUBTOTAL(9,D9:D12)</f>
        <v>277</v>
      </c>
      <c r="E13" s="853">
        <f t="shared" si="0"/>
        <v>92.333333333333329</v>
      </c>
      <c r="F13" s="852">
        <f>SUBTOTAL(9,F9:F12)</f>
        <v>631</v>
      </c>
      <c r="G13" s="853">
        <f t="shared" si="1"/>
        <v>210.33333333333334</v>
      </c>
      <c r="H13" s="852">
        <f>SUBTOTAL(9,H9:H12)</f>
        <v>448</v>
      </c>
      <c r="I13" s="853">
        <f>IF(ISNUMBER(H13/B13),H13/B13," - ")</f>
        <v>149.33333333333334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226</v>
      </c>
      <c r="E16" s="407">
        <f t="shared" si="3"/>
        <v>113</v>
      </c>
      <c r="F16" s="406">
        <f>IF(ISNUMBER(Datos!N16),Datos!N16," - ")</f>
        <v>692</v>
      </c>
      <c r="G16" s="407">
        <f t="shared" si="4"/>
        <v>346</v>
      </c>
      <c r="H16" s="406">
        <f>IF(ISNUMBER(Datos!O16),Datos!O16," - ")</f>
        <v>13</v>
      </c>
      <c r="I16" s="407">
        <f t="shared" si="5"/>
        <v>6.5</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80</v>
      </c>
      <c r="G17" s="407">
        <f>IF(ISNUMBER(F17/B17),F17/B17," - ")</f>
        <v>80</v>
      </c>
      <c r="H17" s="406">
        <f>IF(ISNUMBER(Datos!O17),Datos!O17," - ")</f>
        <v>0</v>
      </c>
      <c r="I17" s="407">
        <f t="shared" si="5"/>
        <v>0</v>
      </c>
    </row>
    <row r="18" spans="1:9" ht="14.25" thickTop="1" thickBot="1">
      <c r="A18" s="851" t="str">
        <f>Datos!A18</f>
        <v>TOTAL</v>
      </c>
      <c r="B18" s="852">
        <f>Datos!AO18</f>
        <v>3</v>
      </c>
      <c r="C18" s="854">
        <f>Datos!AR18</f>
        <v>2</v>
      </c>
      <c r="D18" s="852">
        <f>SUBTOTAL(9,D15:D17)</f>
        <v>239</v>
      </c>
      <c r="E18" s="853">
        <f t="shared" si="3"/>
        <v>79.666666666666671</v>
      </c>
      <c r="F18" s="852">
        <f>SUBTOTAL(9,F15:F17)</f>
        <v>772</v>
      </c>
      <c r="G18" s="853">
        <f t="shared" si="4"/>
        <v>257.33333333333331</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516</v>
      </c>
      <c r="E19" s="798">
        <f>IF(ISNUMBER(D19/B19),D19/B19," - ")</f>
        <v>258</v>
      </c>
      <c r="F19" s="797">
        <f>SUBTOTAL(9,F8:F18)</f>
        <v>1403</v>
      </c>
      <c r="G19" s="798">
        <f>IF(ISNUMBER(F19/B19),F19/B19," - ")</f>
        <v>701.5</v>
      </c>
      <c r="H19" s="797">
        <f>SUBTOTAL(9,H8:H18)</f>
        <v>461</v>
      </c>
      <c r="I19" s="798">
        <f>IF(ISNUMBER(H19/B19),H19/B19," - ")</f>
        <v>230.5</v>
      </c>
    </row>
    <row r="22" spans="1:9">
      <c r="A22" s="394" t="str">
        <f>Criterios!A4</f>
        <v>Fecha Informe: 03 may. 2024</v>
      </c>
    </row>
    <row r="27" spans="1:9">
      <c r="A27" s="417"/>
    </row>
  </sheetData>
  <sheetProtection algorithmName="SHA-512" hashValue="F0bqZFOTM9M2k3Fu2HoCAceaG7QOi8U5XXUKLTqVkyCw4g4poJ6sQ3+PehDllfbG2QW2bY7Bcdk11yrBuzRWyw==" saltValue="Z3d3XvdIXakGhQ93iWMt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QUINTANAR DE LA ORDEN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322</v>
      </c>
      <c r="C12" s="437">
        <f>IF(ISNUMBER(Datos!Q12),Datos!Q12," - ")</f>
        <v>100</v>
      </c>
      <c r="D12" s="411">
        <f>IF(ISNUMBER(Datos!R12),Datos!R12," - ")</f>
        <v>1658</v>
      </c>
    </row>
    <row r="13" spans="1:4" ht="14.25" thickTop="1" thickBot="1">
      <c r="A13" s="851" t="str">
        <f>Datos!A13</f>
        <v>TOTAL</v>
      </c>
      <c r="B13" s="852">
        <f>SUBTOTAL(9,B9:B12)</f>
        <v>322</v>
      </c>
      <c r="C13" s="856">
        <f>SUBTOTAL(9,C9:C12)</f>
        <v>100</v>
      </c>
      <c r="D13" s="854">
        <f>SUBTOTAL(9,D9:D12)</f>
        <v>1658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88</v>
      </c>
      <c r="C16" s="437">
        <f>IF(ISNUMBER(Datos!Q16),Datos!Q16," - ")</f>
        <v>94</v>
      </c>
      <c r="D16" s="411">
        <f>IF(ISNUMBER(Datos!R16),Datos!R16," - ")</f>
        <v>74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88</v>
      </c>
      <c r="C18" s="856">
        <f>SUBTOTAL(9,C15:C17)</f>
        <v>94</v>
      </c>
      <c r="D18" s="854">
        <f>SUBTOTAL(9,D15:D17)</f>
        <v>74</v>
      </c>
    </row>
    <row r="19" spans="1:4" ht="16.5" customHeight="1" thickTop="1" thickBot="1">
      <c r="A19" s="796" t="str">
        <f>Datos!A19</f>
        <v>TOTAL JURISDICCIONES</v>
      </c>
      <c r="B19" s="801">
        <f>SUBTOTAL(9,B8:B18)</f>
        <v>410</v>
      </c>
      <c r="C19" s="802">
        <f>SUBTOTAL(9,C8:C18)</f>
        <v>194</v>
      </c>
      <c r="D19" s="803">
        <f>SUBTOTAL(9,D8:D18)</f>
        <v>1732</v>
      </c>
    </row>
    <row r="20" spans="1:4" ht="7.5" customHeight="1"/>
    <row r="21" spans="1:4" ht="6" customHeight="1"/>
    <row r="22" spans="1:4">
      <c r="A22" s="394" t="str">
        <f>Criterios!A4</f>
        <v>Fecha Informe: 03 may. 2024</v>
      </c>
    </row>
    <row r="27" spans="1:4">
      <c r="A27" s="417"/>
    </row>
  </sheetData>
  <sheetProtection algorithmName="SHA-512" hashValue="9lIWaCzVIeWE9DWZ8VRQ/XucQz2KkQ7zfTuvrQwpZwguPq2I26YuJEtKVE6H+WusM4QWpK5ogpiH3Qy/81UVwA==" saltValue="mgFPevWVvkyma0fuMRE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QUINTANAR DE LA ORDEN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0.4</v>
      </c>
      <c r="D10" s="459">
        <f>IF(ISNUMBER((Datos!K10-Datos!U10)/Datos!U10),(Datos!K10-Datos!U10)/Datos!U10," - ")</f>
        <v>0.66666666666666663</v>
      </c>
      <c r="E10" s="459">
        <f>IF(ISNUMBER((Datos!L10-Datos!V10)/Datos!V10),(Datos!L10-Datos!V10)/Datos!V10," - ")</f>
        <v>0.66666666666666663</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0.19047619047619055</v>
      </c>
      <c r="I10" s="459">
        <f>IF(ISNUMBER(((NºAsuntos!I10/NºAsuntos!G10)-Datos!BE10)/Datos!BE10),((NºAsuntos!I10/NºAsuntos!G10)-Datos!BE10)/Datos!BE10," - ")</f>
        <v>0</v>
      </c>
      <c r="J10" s="464">
        <f>IF(ISNUMBER((('Resol  Asuntos'!D10/NºAsuntos!G10)-Datos!BF10)/Datos!BF10),(('Resol  Asuntos'!D10/NºAsuntos!G10)-Datos!BF10)/Datos!BF10," - ")</f>
        <v>0.20000000000000012</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0.49701789264413521</v>
      </c>
      <c r="C12" s="459">
        <f>IF(ISNUMBER(
   IF(J_V="SI",(Datos!J12-Datos!T12)/Datos!T12,(Datos!J12+Datos!Z12-(Datos!T12+Datos!AH12))/(Datos!T12+Datos!AH12))
     ),IF(J_V="SI",(Datos!J12-Datos!T12)/Datos!T12,(Datos!J12+Datos!Z12-(Datos!T12+Datos!AH12))/(Datos!T12+Datos!AH12))," - ")</f>
        <v>0.3245686113393591</v>
      </c>
      <c r="D12" s="459">
        <f>IF(ISNUMBER(
   IF(J_V="SI",(Datos!K12-Datos!U12)/Datos!U12,(Datos!K12+Datos!AA12-(Datos!U12+Datos!AI12))/(Datos!U12+Datos!AI12))
     ),IF(J_V="SI",(Datos!K12-Datos!U12)/Datos!U12,(Datos!K12+Datos!AA12-(Datos!U12+Datos!AI12))/(Datos!U12+Datos!AI12))," - ")</f>
        <v>0.69689119170984459</v>
      </c>
      <c r="E12" s="459">
        <f>IF(ISNUMBER(
   IF(J_V="SI",(Datos!L12-Datos!V12)/Datos!V12,(Datos!L12+Datos!AB12-(Datos!V12+Datos!AJ12))/(Datos!V12+Datos!AJ12))
     ),IF(J_V="SI",(Datos!L12-Datos!V12)/Datos!V12,(Datos!L12+Datos!AB12-(Datos!V12+Datos!AJ12))/(Datos!V12+Datos!AJ12))," - ")</f>
        <v>7.7689243027888447E-2</v>
      </c>
      <c r="F12" s="459">
        <f>IF(ISNUMBER((Datos!M12-Datos!W12)/Datos!W12),(Datos!M12-Datos!W12)/Datos!W12," - ")</f>
        <v>0.48369565217391303</v>
      </c>
      <c r="G12" s="460">
        <f>IF(ISNUMBER((Datos!N12-Datos!X12)/Datos!X12),(Datos!N12-Datos!X12)/Datos!X12," - ")</f>
        <v>1.9905213270142179</v>
      </c>
      <c r="H12" s="458">
        <f>IF(ISNUMBER(((NºAsuntos!G12/NºAsuntos!E12)-Datos!BD12)/Datos!BD12),((NºAsuntos!G12/NºAsuntos!E12)-Datos!BD12)/Datos!BD12," - ")</f>
        <v>0.28108969001915668</v>
      </c>
      <c r="I12" s="459">
        <f>IF(ISNUMBER(((NºAsuntos!I12/NºAsuntos!G12)-Datos!BE12)/Datos!BE12),((NºAsuntos!I12/NºAsuntos!G12)-Datos!BE12)/Datos!BE12," - ")</f>
        <v>-0.36490374380341234</v>
      </c>
      <c r="J12" s="464">
        <f>IF(ISNUMBER((('Resol  Asuntos'!D12/NºAsuntos!G12)-Datos!BF12)/Datos!BF12),(('Resol  Asuntos'!D12/NºAsuntos!G12)-Datos!BF12)/Datos!BF12," - ")</f>
        <v>-0.23752396801852327</v>
      </c>
      <c r="K12" s="465">
        <f>IF(ISNUMBER((((NºAsuntos!C12+NºAsuntos!E12)/NºAsuntos!G12)-Datos!BG12)/Datos!BG12),(((NºAsuntos!C12+NºAsuntos!E12)/NºAsuntos!G12)-Datos!BG12)/Datos!BG12," - ")</f>
        <v>-0.17342426333989214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0.49851042701092352</v>
      </c>
      <c r="C13" s="858">
        <f>IF(ISNUMBER(
   IF(J_V="SI",(Datos!J13-Datos!T13)/Datos!T13,(Datos!J13+Datos!Z13-(Datos!T13+Datos!AH13))/(Datos!T13+Datos!AH13))
     ),IF(J_V="SI",(Datos!J13-Datos!T13)/Datos!T13,(Datos!J13+Datos!Z13-(Datos!T13+Datos!AH13))/(Datos!T13+Datos!AH13))," - ")</f>
        <v>0.32487725040916532</v>
      </c>
      <c r="D13" s="858">
        <f>IF(ISNUMBER(
   IF(J_V="SI",(Datos!K13-Datos!U13)/Datos!U13,(Datos!K13+Datos!AA13-(Datos!U13+Datos!AI13))/(Datos!U13+Datos!AI13))
     ),IF(J_V="SI",(Datos!K13-Datos!U13)/Datos!U13,(Datos!K13+Datos!AA13-(Datos!U13+Datos!AI13))/(Datos!U13+Datos!AI13))," - ")</f>
        <v>0.6967741935483871</v>
      </c>
      <c r="E13" s="858">
        <f>IF(ISNUMBER(
   IF(J_V="SI",(Datos!L13-Datos!V13)/Datos!V13,(Datos!L13+Datos!AB13-(Datos!V13+Datos!AJ13))/(Datos!V13+Datos!AJ13))
     ),IF(J_V="SI",(Datos!L13-Datos!V13)/Datos!V13,(Datos!L13+Datos!AB13-(Datos!V13+Datos!AJ13))/(Datos!V13+Datos!AJ13))," - ")</f>
        <v>7.886017229953611E-2</v>
      </c>
      <c r="F13" s="859">
        <f>IF(ISNUMBER((Datos!M13-Datos!W13)/Datos!W13),(Datos!M13-Datos!W13)/Datos!W13," - ")</f>
        <v>0.489247311827957</v>
      </c>
      <c r="G13" s="860">
        <f>IF(ISNUMBER((Datos!N13-Datos!X13)/Datos!X13),(Datos!N13-Datos!X13)/Datos!X13," - ")</f>
        <v>1.9905213270142179</v>
      </c>
      <c r="H13" s="860">
        <f>IF(ISNUMBER(((NºAsuntos!G13/NºAsuntos!E13)-Datos!BD13)/Datos!BD13),((NºAsuntos!G13/NºAsuntos!E13)-Datos!BD13)/Datos!BD13," - ")</f>
        <v>0.28070294287592906</v>
      </c>
      <c r="I13" s="860">
        <f>IF(ISNUMBER(((NºAsuntos!I13/NºAsuntos!G13)-Datos!BE13)/Datos!BE13),((NºAsuntos!I13/NºAsuntos!G13)-Datos!BE13)/Datos!BE13," - ")</f>
        <v>-0.36416986043183225</v>
      </c>
      <c r="J13" s="860">
        <f>IF(ISNUMBER((('Resol  Asuntos'!D13/NºAsuntos!G13)-Datos!BF13)/Datos!BF13),(('Resol  Asuntos'!D13/NºAsuntos!G13)-Datos!BF13)/Datos!BF13," - ")</f>
        <v>-0.23356361234581124</v>
      </c>
      <c r="K13" s="860">
        <f>IF(ISNUMBER((((NºAsuntos!C13+NºAsuntos!E13)/NºAsuntos!G13)-Datos!BG13)/Datos!BG13),(((NºAsuntos!C13+NºAsuntos!E13)/NºAsuntos!G13)-Datos!BG13)/Datos!BG13," - ")</f>
        <v>-0.17294836300613928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-3.2028469750889681E-2</v>
      </c>
      <c r="C16" s="459">
        <f>IF(ISNUMBER(
   IF(D_I="SI",(Datos!J16-Datos!T16)/Datos!T16,(Datos!J16+Datos!AD16-(Datos!T16+Datos!AL16))/(Datos!T16+Datos!AL16))
     ),IF(D_I="SI",(Datos!J16-Datos!T16)/Datos!T16,(Datos!J16+Datos!AD16-(Datos!T16+Datos!AL16))/(Datos!T16+Datos!AL16))," - ")</f>
        <v>0.10703812316715543</v>
      </c>
      <c r="D16" s="459">
        <f>IF(ISNUMBER(
   IF(D_I="SI",(Datos!K16-Datos!U16)/Datos!U16,(Datos!K16+Datos!AE16-(Datos!U16+Datos!AM16))/(Datos!U16+Datos!AM16))
     ),IF(D_I="SI",(Datos!K16-Datos!U16)/Datos!U16,(Datos!K16+Datos!AE16-(Datos!U16+Datos!AM16))/(Datos!U16+Datos!AM16))," - ")</f>
        <v>3.1024531024531024E-2</v>
      </c>
      <c r="E16" s="459">
        <f>IF(ISNUMBER(
   IF(D_I="SI",(Datos!L16-Datos!V16)/Datos!V16,(Datos!L16+Datos!AF16-(Datos!V16+Datos!AN16))/(Datos!V16+Datos!AN16))
     ),IF(D_I="SI",(Datos!L16-Datos!V16)/Datos!V16,(Datos!L16+Datos!AF16-(Datos!V16+Datos!AN16))/(Datos!V16+Datos!AN16))," - ")</f>
        <v>0.15625</v>
      </c>
      <c r="F16" s="459">
        <f>IF(ISNUMBER((Datos!M16-Datos!W16)/Datos!W16),(Datos!M16-Datos!W16)/Datos!W16," - ")</f>
        <v>0.15306122448979592</v>
      </c>
      <c r="G16" s="460">
        <f>IF(ISNUMBER((Datos!N16-Datos!X16)/Datos!X16),(Datos!N16-Datos!X16)/Datos!X16," - ")</f>
        <v>-1.443001443001443E-3</v>
      </c>
      <c r="H16" s="458">
        <f>IF(ISNUMBER(((NºAsuntos!G16/NºAsuntos!E16)-Datos!BD16)/Datos!BD16),((NºAsuntos!G16/NºAsuntos!E16)-Datos!BD16)/Datos!BD16," - ")</f>
        <v>-6.8663933564595769E-2</v>
      </c>
      <c r="I16" s="459">
        <f>IF(ISNUMBER(((NºAsuntos!I16/NºAsuntos!G16)-Datos!BE16)/Datos!BE16),((NºAsuntos!I16/NºAsuntos!G16)-Datos!BE16)/Datos!BE16," - ")</f>
        <v>0.12145731280615811</v>
      </c>
      <c r="J16" s="464">
        <f>IF(ISNUMBER((('Resol  Asuntos'!D16/NºAsuntos!G16)-Datos!BF16)/Datos!BF16),(('Resol  Asuntos'!D16/NºAsuntos!G16)-Datos!BF16)/Datos!BF16," - ")</f>
        <v>0.11836449065280412</v>
      </c>
      <c r="K16" s="465">
        <f>IF(ISNUMBER((((NºAsuntos!C16+NºAsuntos!E16)/NºAsuntos!G16)-Datos!BG16)/Datos!BG16),(((NºAsuntos!C16+NºAsuntos!E16)/NºAsuntos!G16)-Datos!BG16)/Datos!BG16," - ")</f>
        <v>3.4368194214632851E-2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-3.5971223021582732E-2</v>
      </c>
      <c r="D17" s="459">
        <f>IF(ISNUMBER(
   IF(D_I="SI",(Datos!K17-Datos!U17)/Datos!U17,(Datos!K17+Datos!AE17-(Datos!U17+Datos!AM17))/(Datos!U17+Datos!AM17))
     ),IF(D_I="SI",(Datos!K17-Datos!U17)/Datos!U17,(Datos!K17+Datos!AE17-(Datos!U17+Datos!AM17))/(Datos!U17+Datos!AM17))," - ")</f>
        <v>1.4814814814814815E-2</v>
      </c>
      <c r="E17" s="459">
        <f>IF(ISNUMBER(
   IF(D_I="SI",(Datos!L17-Datos!V17)/Datos!V17,(Datos!L17+Datos!AF17-(Datos!V17+Datos!AN17))/(Datos!V17+Datos!AN17))
     ),IF(D_I="SI",(Datos!L17-Datos!V17)/Datos!V17,(Datos!L17+Datos!AF17-(Datos!V17+Datos!AN17))/(Datos!V17+Datos!AN17))," - ")</f>
        <v>-0.3</v>
      </c>
      <c r="F17" s="459">
        <f>IF(ISNUMBER((Datos!M17-Datos!W17)/Datos!W17),(Datos!M17-Datos!W17)/Datos!W17," - ")</f>
        <v>-0.31578947368421051</v>
      </c>
      <c r="G17" s="460">
        <f>IF(ISNUMBER((Datos!N17-Datos!X17)/Datos!X17),(Datos!N17-Datos!X17)/Datos!X17," - ")</f>
        <v>6.6666666666666666E-2</v>
      </c>
      <c r="H17" s="458">
        <f>IF(ISNUMBER(((NºAsuntos!G17/NºAsuntos!E17)-Datos!BD17)/Datos!BD17),((NºAsuntos!G17/NºAsuntos!E17)-Datos!BD17)/Datos!BD17," - ")</f>
        <v>5.2681039248203429E-2</v>
      </c>
      <c r="I17" s="459">
        <f>IF(ISNUMBER(((NºAsuntos!I17/NºAsuntos!G17)-Datos!BE17)/Datos!BE17),((NºAsuntos!I17/NºAsuntos!G17)-Datos!BE17)/Datos!BE17," - ")</f>
        <v>-0.31021897810218974</v>
      </c>
      <c r="J17" s="464">
        <f>IF(ISNUMBER((('Resol  Asuntos'!D17/NºAsuntos!G17)-Datos!BF17)/Datos!BF17),(('Resol  Asuntos'!D17/NºAsuntos!G17)-Datos!BF17)/Datos!BF17," - ")</f>
        <v>-0.32577794852093744</v>
      </c>
      <c r="K17" s="465">
        <f>IF(ISNUMBER((((NºAsuntos!C17+NºAsuntos!E17)/NºAsuntos!G17)-Datos!BG17)/Datos!BG17),(((NºAsuntos!C17+NºAsuntos!E17)/NºAsuntos!G17)-Datos!BG17)/Datos!BG17," - ")</f>
        <v>-2.1394412282909694E-2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-2.464788732394366E-2</v>
      </c>
      <c r="C18" s="858">
        <f>IF(ISNUMBER(
   IF(Criterios!B14="SI",(Datos!J18-Datos!T18)/Datos!T18,(Datos!J18+Datos!AD18-(Datos!T18+Datos!AL18))/(Datos!T18+Datos!AL18))
     ),IF(Criterios!B14="SI",(Datos!J18-Datos!T18)/Datos!T18,(Datos!J18+Datos!AD18-(Datos!T18+Datos!AL18))/(Datos!T18+Datos!AL18))," - ")</f>
        <v>9.3812375249500993E-2</v>
      </c>
      <c r="D18" s="858">
        <f>IF(ISNUMBER(
   IF(Criterios!B14="SI",(Datos!K18-Datos!U18)/Datos!U18,(Datos!K18+Datos!AE18-(Datos!U18+Datos!AM18))/(Datos!U18+Datos!AM18))
     ),IF(Criterios!B14="SI",(Datos!K18-Datos!U18)/Datos!U18,(Datos!K18+Datos!AE18-(Datos!U18+Datos!AM18))/(Datos!U18+Datos!AM18))," - ")</f>
        <v>2.9585798816568046E-2</v>
      </c>
      <c r="E18" s="858">
        <f>IF(ISNUMBER(
   IF(Criterios!B14="SI",(Datos!L18-Datos!V18)/Datos!V18,(Datos!L18+Datos!AF18-(Datos!V18+Datos!AN18))/(Datos!V18+Datos!AN18))
     ),IF(Criterios!B14="SI",(Datos!L18-Datos!V18)/Datos!V18,(Datos!L18+Datos!AF18-(Datos!V18+Datos!AN18))/(Datos!V18+Datos!AN18))," - ")</f>
        <v>0.14801444043321299</v>
      </c>
      <c r="F18" s="859">
        <f>IF(ISNUMBER((Datos!M18-Datos!W18)/Datos!W18),(Datos!M18-Datos!W18)/Datos!W18," - ")</f>
        <v>0.11162790697674418</v>
      </c>
      <c r="G18" s="860">
        <f>IF(ISNUMBER((Datos!N18-Datos!X18)/Datos!X18),(Datos!N18-Datos!X18)/Datos!X18," - ")</f>
        <v>5.208333333333333E-3</v>
      </c>
      <c r="H18" s="860">
        <f>IF(ISNUMBER(((NºAsuntos!G18/NºAsuntos!E18)-Datos!BD18)/Datos!BD18),((NºAsuntos!G18/NºAsuntos!E18)-Datos!BD18)/Datos!BD18," - ")</f>
        <v>-5.8718092687772727E-2</v>
      </c>
      <c r="I18" s="860">
        <f>IF(ISNUMBER(((NºAsuntos!I18/NºAsuntos!G18)-Datos!BE18)/Datos!BE18),((NºAsuntos!I18/NºAsuntos!G18)-Datos!BE18)/Datos!BE18," - ")</f>
        <v>0.11502551973110917</v>
      </c>
      <c r="J18" s="860">
        <f>IF(ISNUMBER((('Resol  Asuntos'!D18/NºAsuntos!G18)-Datos!BF18)/Datos!BF18),(('Resol  Asuntos'!D18/NºAsuntos!G18)-Datos!BF18)/Datos!BF18," - ")</f>
        <v>7.9684576316492936E-2</v>
      </c>
      <c r="K18" s="860">
        <f>IF(ISNUMBER((((NºAsuntos!C18+NºAsuntos!E18)/NºAsuntos!G18)-Datos!BG18)/Datos!BG18),(((NºAsuntos!C18+NºAsuntos!E18)/NºAsuntos!G18)-Datos!BG18)/Datos!BG18," - ")</f>
        <v>3.0825244065557759E-2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0.30984126984126986</v>
      </c>
      <c r="C19" s="805">
        <f>IF(ISNUMBER(
   IF(J_V="SI",(Datos!J19-Datos!T19)/Datos!T19,(Datos!J19+Datos!Z19-(Datos!T19+Datos!AH19))/(Datos!T19+Datos!AH19))
     ),IF(J_V="SI",(Datos!J19-Datos!T19)/Datos!T19,(Datos!J19+Datos!Z19-(Datos!T19+Datos!AH19))/(Datos!T19+Datos!AH19))," - ")</f>
        <v>0.19743119266055045</v>
      </c>
      <c r="D19" s="805">
        <f>IF(ISNUMBER(
   IF(J_V="SI",(Datos!K19-Datos!U19)/Datos!U19,(Datos!K19+Datos!AA19-(Datos!U19+Datos!AI19))/(Datos!U19+Datos!AI19))
     ),IF(J_V="SI",(Datos!K19-Datos!U19)/Datos!U19,(Datos!K19+Datos!AA19-(Datos!U19+Datos!AI19))/(Datos!U19+Datos!AI19))," - ")</f>
        <v>0.25479094076655051</v>
      </c>
      <c r="E19" s="805">
        <f>IF(ISNUMBER(
   IF(J_V="SI",(Datos!L19-Datos!V19)/Datos!V19,(Datos!L19+Datos!AB19-(Datos!V19+Datos!AJ19))/(Datos!V19+Datos!AJ19))
     ),IF(J_V="SI",(Datos!L19-Datos!V19)/Datos!V19,(Datos!L19+Datos!AB19-(Datos!V19+Datos!AJ19))/(Datos!V19+Datos!AJ19))," - ")</f>
        <v>9.7430925836160934E-2</v>
      </c>
      <c r="F19" s="806">
        <f>IF(ISNUMBER((Datos!M19-Datos!W19)/Datos!W19),(Datos!M19-Datos!W19)/Datos!W19," - ")</f>
        <v>0.28678304239401498</v>
      </c>
      <c r="G19" s="807">
        <f>IF(ISNUMBER((Datos!N19-Datos!X19)/Datos!X19),(Datos!N19-Datos!X19)/Datos!X19," - ")</f>
        <v>0.43309499489274772</v>
      </c>
      <c r="H19" s="808">
        <f>IF(ISNUMBER((Tasas!B19-Datos!BD19)/Datos!BD19),(Tasas!B19-Datos!BD19)/Datos!BD19," - ")</f>
        <v>4.7902333309485276E-2</v>
      </c>
      <c r="I19" s="809">
        <f>IF(ISNUMBER((Tasas!C19-Datos!BE19)/Datos!BE19),(Tasas!C19-Datos!BE19)/Datos!BE19," - ")</f>
        <v>-0.12540735657069577</v>
      </c>
      <c r="J19" s="810">
        <f>IF(ISNUMBER((Tasas!D19-Datos!BF19)/Datos!BF19),(Tasas!D19-Datos!BF19)/Datos!BF19," - ")</f>
        <v>-3.9196540661180113E-2</v>
      </c>
      <c r="K19" s="810">
        <f>IF(ISNUMBER((Tasas!E19-Datos!BG19)/Datos!BG19),(Tasas!E19-Datos!BG19)/Datos!BG19," - ")</f>
        <v>-1.2899590742878348E-2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HICuIBoXWnVDAAfiL2AFV/xE5BUPhjNybZ4vouN2NB6pv5z85YUhhtDges319bLX9lQ8lldTFj1E/iOYOXew==" saltValue="Geu6iAdOC20qjBNm+nIa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QUINTANAR DE LA ORDEN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0.7142857142857143</v>
      </c>
      <c r="C10" s="446">
        <f>IF(ISNUMBER(NºAsuntos!I10/NºAsuntos!G10),NºAsuntos!I10/NºAsuntos!G10," - ")</f>
        <v>1</v>
      </c>
      <c r="D10" s="447">
        <f>IF(ISNUMBER('Resol  Asuntos'!D10/NºAsuntos!G10),'Resol  Asuntos'!D10/NºAsuntos!G10," - ")</f>
        <v>0.8</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0.81265508684863519</v>
      </c>
      <c r="C12" s="446">
        <f>IF(ISNUMBER(NºAsuntos!I12/NºAsuntos!G12),NºAsuntos!I12/NºAsuntos!G12," - ")</f>
        <v>1.2389312977099236</v>
      </c>
      <c r="D12" s="447">
        <f>IF(ISNUMBER('Resol  Asuntos'!D12/NºAsuntos!G12),'Resol  Asuntos'!D12/NºAsuntos!G12," - ")</f>
        <v>0.2083969465648855</v>
      </c>
      <c r="E12" s="448">
        <f>IF(ISNUMBER((NºAsuntos!C12+NºAsuntos!E12)/NºAsuntos!G12),(NºAsuntos!C12+NºAsuntos!E12)/NºAsuntos!G12," - ")</f>
        <v>2.3801526717557251</v>
      </c>
      <c r="G12" s="466"/>
    </row>
    <row r="13" spans="1:7" ht="14.25" thickTop="1" thickBot="1">
      <c r="A13" s="851" t="str">
        <f>Datos!A13</f>
        <v>TOTAL</v>
      </c>
      <c r="B13" s="861">
        <f>IF(ISNUMBER(NºAsuntos!G13/NºAsuntos!E13),NºAsuntos!G13/NºAsuntos!E13," - ")</f>
        <v>0.81222977146386655</v>
      </c>
      <c r="C13" s="862">
        <f>IF(ISNUMBER(NºAsuntos!I13/NºAsuntos!G13),NºAsuntos!I13/NºAsuntos!G13," - ")</f>
        <v>1.238022813688213</v>
      </c>
      <c r="D13" s="863">
        <f>IF(ISNUMBER('Resol  Asuntos'!D13/NºAsuntos!G13),'Resol  Asuntos'!D13/NºAsuntos!G13," - ")</f>
        <v>0.21064638783269962</v>
      </c>
      <c r="E13" s="864">
        <f>IF(ISNUMBER((NºAsuntos!C13+NºAsuntos!E13)/NºAsuntos!G13),(NºAsuntos!C13+NºAsuntos!E13)/NºAsuntos!G13," - ")</f>
        <v>2.3787072243346006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0.94635761589403977</v>
      </c>
      <c r="C16" s="446">
        <f>IF(ISNUMBER(NºAsuntos!I16/NºAsuntos!G16),NºAsuntos!I16/NºAsuntos!G16," - ")</f>
        <v>0.44016794961511546</v>
      </c>
      <c r="D16" s="447">
        <f>IF(ISNUMBER('Resol  Asuntos'!D16/NºAsuntos!G16),'Resol  Asuntos'!D16/NºAsuntos!G16," - ")</f>
        <v>0.15815255423372987</v>
      </c>
      <c r="E16" s="448">
        <f>IF(ISNUMBER((NºAsuntos!C16+NºAsuntos!E16)/NºAsuntos!G16),(NºAsuntos!C16+NºAsuntos!E16)/NºAsuntos!G16," - ")</f>
        <v>1.437368789363191</v>
      </c>
      <c r="G16" s="466"/>
    </row>
    <row r="17" spans="1:7" ht="13.5" thickBot="1">
      <c r="A17" s="405" t="str">
        <f>Datos!A17</f>
        <v>Jdos. Violencia contra la mujer</v>
      </c>
      <c r="B17" s="445">
        <f>IF(ISNUMBER(NºAsuntos!G17/NºAsuntos!E17),NºAsuntos!G17/NºAsuntos!E17," - ")</f>
        <v>1.0223880597014925</v>
      </c>
      <c r="C17" s="446">
        <f>IF(ISNUMBER(NºAsuntos!I17/NºAsuntos!G17),NºAsuntos!I17/NºAsuntos!G17," - ")</f>
        <v>5.1094890510948905E-2</v>
      </c>
      <c r="D17" s="447">
        <f>IF(ISNUMBER('Resol  Asuntos'!D17/NºAsuntos!G17),'Resol  Asuntos'!D17/NºAsuntos!G17," - ")</f>
        <v>9.4890510948905105E-2</v>
      </c>
      <c r="E17" s="448">
        <f>IF(ISNUMBER((NºAsuntos!C17+NºAsuntos!E17)/NºAsuntos!G17),(NºAsuntos!C17+NºAsuntos!E17)/NºAsuntos!G17," - ")</f>
        <v>1.051094890510949</v>
      </c>
      <c r="G17" s="466"/>
    </row>
    <row r="18" spans="1:7" ht="14.25" thickTop="1" thickBot="1">
      <c r="A18" s="851" t="str">
        <f>Datos!A18</f>
        <v>TOTAL</v>
      </c>
      <c r="B18" s="861">
        <f>IF(ISNUMBER(NºAsuntos!G18/NºAsuntos!E18),NºAsuntos!G18/NºAsuntos!E18," - ")</f>
        <v>0.95255474452554745</v>
      </c>
      <c r="C18" s="862">
        <f>IF(ISNUMBER(NºAsuntos!I18/NºAsuntos!G18),NºAsuntos!I18/NºAsuntos!G18," - ")</f>
        <v>0.4061302681992337</v>
      </c>
      <c r="D18" s="865">
        <f>IF(ISNUMBER('Resol  Asuntos'!D18/NºAsuntos!G18),'Resol  Asuntos'!D18/NºAsuntos!G18," - ")</f>
        <v>0.15261813537675606</v>
      </c>
      <c r="E18" s="864">
        <f>IF(ISNUMBER((NºAsuntos!C18+NºAsuntos!E18)/NºAsuntos!G18),(NºAsuntos!C18+NºAsuntos!E18)/NºAsuntos!G18," - ")</f>
        <v>1.4035759897828863</v>
      </c>
      <c r="G18" s="466"/>
    </row>
    <row r="19" spans="1:7" ht="15.75" customHeight="1" thickTop="1" thickBot="1">
      <c r="A19" s="796" t="str">
        <f>Datos!A19</f>
        <v>TOTAL JURISDICCIONES</v>
      </c>
      <c r="B19" s="811">
        <f>IF(ISNUMBER(NºAsuntos!G19/NºAsuntos!E19),NºAsuntos!G19/NºAsuntos!E19," - ")</f>
        <v>0.88292981918479929</v>
      </c>
      <c r="C19" s="812">
        <f>IF(ISNUMBER(NºAsuntos!I19/NºAsuntos!G19),NºAsuntos!I19/NºAsuntos!G19," - ")</f>
        <v>0.78583825060742796</v>
      </c>
      <c r="D19" s="813">
        <f>IF(ISNUMBER('Resol  Asuntos'!D19/NºAsuntos!G19),'Resol  Asuntos'!D19/NºAsuntos!G19," - ")</f>
        <v>0.17910447761194029</v>
      </c>
      <c r="E19" s="814">
        <f>IF(ISNUMBER((NºAsuntos!C19+NºAsuntos!E19)/NºAsuntos!G19),(NºAsuntos!C19+NºAsuntos!E19)/NºAsuntos!G19," - ")</f>
        <v>1.8486636584519265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jAew+ozEKqhmy1/z1B/NNoAA3kJAEAYB30lN2amda5759Id36JExOoW5wN6pzeuWrhC8LblKkXQQPdakk6EBw==" saltValue="yRgczH2YsdjwJBMa4dWZ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QUINTANAR DE LA ORDEN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0.7142857142857143</v>
      </c>
      <c r="AM10" s="263">
        <f>IF(ISNUMBER(((NºAsuntos!I10/NºAsuntos!G10)*11)/factor_trimestre),((NºAsuntos!I10/NºAsuntos!G10)*11)/factor_trimestre," - ")</f>
        <v>11</v>
      </c>
      <c r="AN10" s="247">
        <f>IF(ISNUMBER('Resol  Asuntos'!D10/NºAsuntos!G10),'Resol  Asuntos'!D10/NºAsuntos!G10," - ")</f>
        <v>0.8</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322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100</v>
      </c>
      <c r="Y12" s="337">
        <f t="shared" si="0"/>
        <v>100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273</v>
      </c>
      <c r="AJ12" s="232" t="str">
        <f>IF(ISNUMBER(Datos!BW12),Datos!BW12," - ")</f>
        <v xml:space="preserve"> - </v>
      </c>
      <c r="AK12" s="231" t="str">
        <f>IF(ISNUMBER(Datos!BX12),Datos!BX12," - ")</f>
        <v xml:space="preserve"> - </v>
      </c>
      <c r="AL12" s="246">
        <f>IF(ISNUMBER(NºAsuntos!G12/NºAsuntos!E12),NºAsuntos!G12/NºAsuntos!E12," - ")</f>
        <v>0.81265508684863519</v>
      </c>
      <c r="AM12" s="263">
        <f>IF(ISNUMBER(((NºAsuntos!I12/NºAsuntos!G12)*11)/factor_trimestre),((NºAsuntos!I12/NºAsuntos!G12)*11)/factor_trimestre," - ")</f>
        <v>13.628244274809159</v>
      </c>
      <c r="AN12" s="247">
        <f>IF(ISNUMBER('Resol  Asuntos'!D12/NºAsuntos!G12),'Resol  Asuntos'!D12/NºAsuntos!G12," - ")</f>
        <v>0.2083969465648855</v>
      </c>
      <c r="AO12" s="248">
        <f>IF(ISNUMBER((NºAsuntos!C12+NºAsuntos!E12)/NºAsuntos!G12),(NºAsuntos!C12+NºAsuntos!E12)/NºAsuntos!G12," - ")</f>
        <v>2.3801526717557251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322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100</v>
      </c>
      <c r="Y13" s="871">
        <f t="shared" si="4"/>
        <v>105</v>
      </c>
      <c r="Z13" s="871">
        <f t="shared" si="4"/>
        <v>0</v>
      </c>
      <c r="AA13" s="871">
        <f t="shared" si="4"/>
        <v>5</v>
      </c>
      <c r="AB13" s="871">
        <f t="shared" si="4"/>
        <v>1658</v>
      </c>
      <c r="AC13" s="871">
        <f t="shared" si="4"/>
        <v>5</v>
      </c>
      <c r="AD13" s="871">
        <f t="shared" si="4"/>
        <v>0</v>
      </c>
      <c r="AE13" s="875">
        <f t="shared" si="4"/>
        <v>0</v>
      </c>
      <c r="AF13" s="868">
        <f t="shared" si="4"/>
        <v>0</v>
      </c>
      <c r="AG13" s="876">
        <f t="shared" si="4"/>
        <v>0</v>
      </c>
      <c r="AH13" s="873">
        <f t="shared" si="4"/>
        <v>0</v>
      </c>
      <c r="AI13" s="868">
        <f t="shared" si="4"/>
        <v>277</v>
      </c>
      <c r="AJ13" s="870">
        <f t="shared" si="4"/>
        <v>0</v>
      </c>
      <c r="AK13" s="873">
        <f>SUBTOTAL(9,AK9:AK12)</f>
        <v>0</v>
      </c>
      <c r="AL13" s="877">
        <f>IF(ISNUMBER(NºAsuntos!G13/NºAsuntos!E13),NºAsuntos!G13/NºAsuntos!E13," - ")</f>
        <v>0.81222977146386655</v>
      </c>
      <c r="AM13" s="877">
        <f>IF(ISNUMBER(((NºAsuntos!I13/NºAsuntos!G13)*11)/factor_trimestre),((NºAsuntos!I13/NºAsuntos!G13)*11)/factor_trimestre," - ")</f>
        <v>13.618250950570342</v>
      </c>
      <c r="AN13" s="878">
        <f>IF(ISNUMBER('Resol  Asuntos'!D13/NºAsuntos!G13),'Resol  Asuntos'!D13/NºAsuntos!G13," - ")</f>
        <v>0.21064638783269962</v>
      </c>
      <c r="AO13" s="879">
        <f>IF(ISNUMBER((NºAsuntos!C13+NºAsuntos!E13)/NºAsuntos!G13),(NºAsuntos!C13+NºAsuntos!E13)/NºAsuntos!G13," - ")</f>
        <v>2.3787072243346006</v>
      </c>
      <c r="AP13" s="880" t="str">
        <f t="shared" si="2"/>
        <v xml:space="preserve"> - </v>
      </c>
      <c r="AQ13" s="880">
        <f>IF(ISNUMBER((H13-W13+K13)/(F13)),(H13-W13+K13)/(F13)," - ")</f>
        <v>-1.6666666666666667</v>
      </c>
      <c r="AR13" s="881">
        <f>IF(ISNUMBER((Datos!P13-Datos!Q13)/(Datos!R13-Datos!P13+Datos!Q13)),(Datos!P13-Datos!Q13)/(Datos!R13-Datos!P13+Datos!Q13)," - ")</f>
        <v>0.15459610027855153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548</v>
      </c>
      <c r="G16" s="336">
        <f>IF(ISNUMBER(IF(D_I="SI",Datos!I16,Datos!I16+Datos!AC16)),IF(D_I="SI",Datos!I16,Datos!I16+Datos!AC16)," - ")</f>
        <v>544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1429</v>
      </c>
      <c r="X16" s="229">
        <f>IF(ISNUMBER(Datos!Q16),Datos!Q16," - ")</f>
        <v>94</v>
      </c>
      <c r="Y16" s="337">
        <f t="shared" ref="Y16:Y17" si="7">SUM(W16:X16)</f>
        <v>1523</v>
      </c>
      <c r="Z16" s="338" t="str">
        <f>IF(ISNUMBER(Datos!CC16),Datos!CC16," - ")</f>
        <v xml:space="preserve"> - </v>
      </c>
      <c r="AA16" s="335">
        <f>IF(ISNUMBER(IF(D_I="SI",Datos!L16,Datos!L16+Datos!AF16)),IF(D_I="SI",Datos!L16,Datos!L16+Datos!AF16)," - ")</f>
        <v>629</v>
      </c>
      <c r="AB16" s="337">
        <f>IF(ISNUMBER(Datos!R16),Datos!R16," - ")</f>
        <v>74</v>
      </c>
      <c r="AC16" s="337">
        <f t="shared" si="6"/>
        <v>703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226</v>
      </c>
      <c r="AJ16" s="234" t="str">
        <f>IF(ISNUMBER(Datos!BW16),Datos!BW16," - ")</f>
        <v xml:space="preserve"> - </v>
      </c>
      <c r="AK16" s="235" t="str">
        <f>IF(ISNUMBER(Datos!BX16),Datos!BX16," - ")</f>
        <v xml:space="preserve"> - </v>
      </c>
      <c r="AL16" s="246">
        <f>IF(ISNUMBER(NºAsuntos!G16/NºAsuntos!E16),NºAsuntos!G16/NºAsuntos!E16," - ")</f>
        <v>0.94635761589403977</v>
      </c>
      <c r="AM16" s="263">
        <f>IF(ISNUMBER(((NºAsuntos!I16/NºAsuntos!G16)*11)/factor_trimestre),((NºAsuntos!I16/NºAsuntos!G16)*11)/factor_trimestre," - ")</f>
        <v>4.8418474457662697</v>
      </c>
      <c r="AN16" s="247">
        <f>IF(ISNUMBER('Resol  Asuntos'!D16/NºAsuntos!G16),'Resol  Asuntos'!D16/NºAsuntos!G16," - ")</f>
        <v>0.15815255423372987</v>
      </c>
      <c r="AO16" s="248">
        <f>IF(ISNUMBER((NºAsuntos!C16+NºAsuntos!E16)/NºAsuntos!G16),(NºAsuntos!C16+NºAsuntos!E16)/NºAsuntos!G16," - ")</f>
        <v>1.437368789363191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137</v>
      </c>
      <c r="X17" s="229">
        <f>IF(ISNUMBER(Datos!Q17),Datos!Q17," - ")</f>
        <v>0</v>
      </c>
      <c r="Y17" s="337">
        <f t="shared" si="7"/>
        <v>137</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1.0223880597014925</v>
      </c>
      <c r="AM17" s="263">
        <f>IF(ISNUMBER(((NºAsuntos!I17/NºAsuntos!G17)*11)/factor_trimestre),((NºAsuntos!I17/NºAsuntos!G17)*11)/factor_trimestre," - ")</f>
        <v>0.56204379562043794</v>
      </c>
      <c r="AN17" s="247">
        <f>IF(ISNUMBER('Resol  Asuntos'!D17/NºAsuntos!G17),'Resol  Asuntos'!D17/NºAsuntos!G17," - ")</f>
        <v>9.4890510948905105E-2</v>
      </c>
      <c r="AO17" s="248">
        <f>IF(ISNUMBER((NºAsuntos!C17+NºAsuntos!E17)/NºAsuntos!G17),(NºAsuntos!C17+NºAsuntos!E17)/NºAsuntos!G17," - ")</f>
        <v>1.051094890510949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548</v>
      </c>
      <c r="G18" s="869">
        <f>SUBTOTAL(9,G15:G17)</f>
        <v>554</v>
      </c>
      <c r="H18" s="868">
        <f t="shared" ref="H18:O18" si="10">SUBTOTAL(9,H14:H17)</f>
        <v>0</v>
      </c>
      <c r="I18" s="870">
        <f t="shared" si="10"/>
        <v>0</v>
      </c>
      <c r="J18" s="870">
        <f t="shared" si="10"/>
        <v>0</v>
      </c>
      <c r="K18" s="870">
        <f t="shared" si="10"/>
        <v>0</v>
      </c>
      <c r="L18" s="870">
        <f t="shared" si="10"/>
        <v>88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1566</v>
      </c>
      <c r="X18" s="870">
        <f t="shared" si="11"/>
        <v>94</v>
      </c>
      <c r="Y18" s="871">
        <f t="shared" si="11"/>
        <v>1660</v>
      </c>
      <c r="Z18" s="871">
        <f t="shared" si="11"/>
        <v>0</v>
      </c>
      <c r="AA18" s="871">
        <f t="shared" si="11"/>
        <v>636</v>
      </c>
      <c r="AB18" s="871">
        <f t="shared" si="11"/>
        <v>74</v>
      </c>
      <c r="AC18" s="871">
        <f t="shared" si="11"/>
        <v>710</v>
      </c>
      <c r="AD18" s="871">
        <f t="shared" si="11"/>
        <v>0</v>
      </c>
      <c r="AE18" s="875">
        <f t="shared" si="11"/>
        <v>0</v>
      </c>
      <c r="AF18" s="868">
        <f t="shared" si="11"/>
        <v>0</v>
      </c>
      <c r="AG18" s="876">
        <f t="shared" si="11"/>
        <v>0</v>
      </c>
      <c r="AH18" s="873">
        <f t="shared" si="11"/>
        <v>0</v>
      </c>
      <c r="AI18" s="868">
        <f t="shared" si="11"/>
        <v>239</v>
      </c>
      <c r="AJ18" s="870">
        <f t="shared" si="11"/>
        <v>0</v>
      </c>
      <c r="AK18" s="873">
        <f t="shared" si="11"/>
        <v>0</v>
      </c>
      <c r="AL18" s="877">
        <f>IF(ISNUMBER(NºAsuntos!G18/NºAsuntos!E18),NºAsuntos!G18/NºAsuntos!E18," - ")</f>
        <v>0.95255474452554745</v>
      </c>
      <c r="AM18" s="877">
        <f>IF(ISNUMBER(((NºAsuntos!I18/NºAsuntos!G18)*11)/factor_trimestre),((NºAsuntos!I18/NºAsuntos!G18)*11)/factor_trimestre," - ")</f>
        <v>4.4674329501915704</v>
      </c>
      <c r="AN18" s="878">
        <f>IF(ISNUMBER('Resol  Asuntos'!D18/NºAsuntos!G18),'Resol  Asuntos'!D18/NºAsuntos!G18," - ")</f>
        <v>0.15261813537675606</v>
      </c>
      <c r="AO18" s="879">
        <f>IF(ISNUMBER((NºAsuntos!C18+NºAsuntos!E18)/NºAsuntos!G18),(NºAsuntos!C18+NºAsuntos!E18)/NºAsuntos!G18," - ")</f>
        <v>1.4035759897828863</v>
      </c>
      <c r="AP18" s="880" t="str">
        <f t="shared" si="2"/>
        <v xml:space="preserve"> - </v>
      </c>
      <c r="AQ18" s="880">
        <f>IF(ISNUMBER((H18-W18+K18)/(F18)),(H18-W18+K18)/(F18)," - ")</f>
        <v>-2.8576642335766422</v>
      </c>
      <c r="AR18" s="881">
        <f>IF(ISNUMBER((Datos!P18-Datos!Q18)/(Datos!R18-Datos!P18+Datos!Q18)),(Datos!P18-Datos!Q18)/(Datos!R18-Datos!P18+Datos!Q18)," - ")</f>
        <v>-7.4999999999999997E-2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551</v>
      </c>
      <c r="G19" s="824">
        <f t="shared" si="13"/>
        <v>557</v>
      </c>
      <c r="H19" s="823">
        <f t="shared" si="13"/>
        <v>0</v>
      </c>
      <c r="I19" s="825">
        <f t="shared" si="13"/>
        <v>0</v>
      </c>
      <c r="J19" s="825">
        <f t="shared" si="13"/>
        <v>0</v>
      </c>
      <c r="K19" s="884">
        <f t="shared" si="13"/>
        <v>0</v>
      </c>
      <c r="L19" s="825">
        <f t="shared" si="13"/>
        <v>410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1571</v>
      </c>
      <c r="X19" s="824">
        <f t="shared" si="14"/>
        <v>194</v>
      </c>
      <c r="Y19" s="831">
        <f t="shared" si="14"/>
        <v>1765</v>
      </c>
      <c r="Z19" s="831">
        <f t="shared" si="14"/>
        <v>0</v>
      </c>
      <c r="AA19" s="831">
        <f t="shared" si="14"/>
        <v>641</v>
      </c>
      <c r="AB19" s="831">
        <f t="shared" si="14"/>
        <v>1732</v>
      </c>
      <c r="AC19" s="831">
        <f t="shared" si="14"/>
        <v>715</v>
      </c>
      <c r="AD19" s="831">
        <f t="shared" si="14"/>
        <v>0</v>
      </c>
      <c r="AE19" s="833">
        <f t="shared" si="14"/>
        <v>0</v>
      </c>
      <c r="AF19" s="834">
        <f t="shared" si="14"/>
        <v>0</v>
      </c>
      <c r="AG19" s="835">
        <f t="shared" si="14"/>
        <v>0</v>
      </c>
      <c r="AH19" s="833">
        <f t="shared" si="14"/>
        <v>0</v>
      </c>
      <c r="AI19" s="823">
        <f t="shared" si="14"/>
        <v>516</v>
      </c>
      <c r="AJ19" s="823">
        <f t="shared" si="14"/>
        <v>0</v>
      </c>
      <c r="AK19" s="833">
        <f t="shared" si="14"/>
        <v>0</v>
      </c>
      <c r="AL19" s="887">
        <f>IF(ISNUMBER(NºAsuntos!G19/NºAsuntos!E19),NºAsuntos!G19/NºAsuntos!E19," - ")</f>
        <v>0.88292981918479929</v>
      </c>
      <c r="AM19" s="888">
        <f>IF(ISNUMBER(((NºAsuntos!I19/NºAsuntos!G19)*11)/factor_trimestre),((NºAsuntos!I19/NºAsuntos!G19)*11)/factor_trimestre," - ")</f>
        <v>8.6442207566817082</v>
      </c>
      <c r="AN19" s="888">
        <f>IF(ISNUMBER('Resol  Asuntos'!D19/NºAsuntos!G19),'Resol  Asuntos'!D19/NºAsuntos!G19," - ")</f>
        <v>0.17910447761194029</v>
      </c>
      <c r="AO19" s="889">
        <f>IF(ISNUMBER((NºAsuntos!C19+NºAsuntos!E19)/NºAsuntos!G19),(NºAsuntos!C19+NºAsuntos!E19)/NºAsuntos!G19," - ")</f>
        <v>1.8486636584519265</v>
      </c>
      <c r="AP19" s="890" t="str">
        <f t="shared" si="2"/>
        <v xml:space="preserve"> - </v>
      </c>
      <c r="AQ19" s="891">
        <f>IF(OR(ISNUMBER(FIND("01",Criterios!A8,1)),ISNUMBER(FIND("02",Criterios!A8,1)),ISNUMBER(FIND("03",Criterios!A8,1)),ISNUMBER(FIND("04",Criterios!A8,1))),(I19-W19+K19)/(F19-K19),(H19-W19+K19)/(F19-K19))</f>
        <v>-2.851179673321234</v>
      </c>
      <c r="AR19" s="892">
        <f>IF(ISNUMBER((Datos!P19-Datos!Q19)/(Datos!R19-Datos!P19+Datos!Q19)),(Datos!P19-Datos!Q19)/(Datos!R19-Datos!P19+Datos!Q19)," - ")</f>
        <v>0.14248021108179421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314.65589670834601</v>
      </c>
      <c r="G21" s="256">
        <f>IF(ISNUMBER(STDEV(G8:G18)),STDEV(G8:G18),"-")</f>
        <v>297.81319648397044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796.67797760450242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128.16863890983629</v>
      </c>
      <c r="AJ21" s="255">
        <f t="shared" si="18"/>
        <v>0</v>
      </c>
      <c r="AK21" s="257">
        <f t="shared" si="18"/>
        <v>0</v>
      </c>
      <c r="AL21" s="252">
        <f t="shared" si="18"/>
        <v>0.1152976024827083</v>
      </c>
      <c r="AM21" s="253">
        <f t="shared" si="18"/>
        <v>5.4775124610869037</v>
      </c>
      <c r="AN21" s="253">
        <f t="shared" si="18"/>
        <v>0.26274161646666472</v>
      </c>
      <c r="AO21" s="254">
        <f t="shared" si="18"/>
        <v>0.55808355490612938</v>
      </c>
      <c r="AP21" s="294" t="str">
        <f t="shared" si="18"/>
        <v>-</v>
      </c>
      <c r="AQ21" s="295">
        <f t="shared" si="18"/>
        <v>0.84216245593872208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NbAXW0IrySyRRvLwjxbLgmGYOtzv8JzEnTJppTX4E+LAA1quOs9kEzIs0jAqXQObDLTm48gjqIbingDzp8K4w==" saltValue="TQGc2QnAfAATgcpMGJHX6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QUINTANAR DE LA ORDEN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2</v>
      </c>
      <c r="E10" s="351">
        <f>IF(ISNUMBER((Datos!J10-Datos!T10)/Datos!T10),(Datos!J10-Datos!T10)/Datos!T10," - ")</f>
        <v>0.4</v>
      </c>
      <c r="F10" s="351">
        <f>IF(ISNUMBER((Datos!K10-Datos!U10)/Datos!U10),(Datos!K10-Datos!U10)/Datos!U10," - ")</f>
        <v>0.66666666666666663</v>
      </c>
      <c r="G10" s="352">
        <f>IF(ISNUMBER((Datos!L10-Datos!V10)/Datos!V10),(Datos!L10-Datos!V10)/Datos!V10," - ")</f>
        <v>0.66666666666666663</v>
      </c>
      <c r="H10" s="233">
        <f>IF(ISNUMBER((Datos!M10-Datos!W10)/Datos!W10),(Datos!M10-Datos!W10)/Datos!W10," - ")</f>
        <v>1</v>
      </c>
      <c r="I10" s="353">
        <f>IF(ISNUMBER((Tasas!C10-Datos!BE10)/Datos!BE10),(Tasas!C10-Datos!BE10)/Datos!BE10," - ")</f>
        <v>0</v>
      </c>
      <c r="J10" s="352">
        <f>IF(ISNUMBER((Tasas!D10-Datos!BF10)/Datos!BF10),(Tasas!D10-Datos!BF10)/Datos!BF10," - ")</f>
        <v>0.20000000000000012</v>
      </c>
      <c r="K10" s="354">
        <f>IF(ISNUMBER((Tasas!E10-Datos!BG10)/Datos!BG10),(Tasas!E10-Datos!BG10)/Datos!BG10," - ")</f>
        <v>0</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0.48369565217391303</v>
      </c>
      <c r="I12" s="353">
        <f>IF(ISNUMBER((Tasas!C12-Datos!BE12)/Datos!BE12),(Tasas!C12-Datos!BE12)/Datos!BE12," - ")</f>
        <v>-0.36490374380341234</v>
      </c>
      <c r="J12" s="352">
        <f>IF(ISNUMBER((Tasas!D12-Datos!BF12)/Datos!BF12),(Tasas!D12-Datos!BF12)/Datos!BF12," - ")</f>
        <v>-0.23752396801852327</v>
      </c>
      <c r="K12" s="354">
        <f>IF(ISNUMBER((Tasas!E12-Datos!BG12)/Datos!BG12),(Tasas!E12-Datos!BG12)/Datos!BG12," - ")</f>
        <v>-0.17342426333989214</v>
      </c>
      <c r="M12" t="e">
        <f>IF(Monitorios="SI",Datos!CE12,0)</f>
        <v>#REF!</v>
      </c>
      <c r="N12" t="e">
        <f>IF(Monitorios="SI",Datos!CF12,0)</f>
        <v>#REF!</v>
      </c>
      <c r="O12" t="e">
        <f>IF(Monitorios="SI",Datos!CG12,0)</f>
        <v>#REF!</v>
      </c>
      <c r="P12" t="e">
        <f>IF(Monitorios="SI",Datos!CH12,0)</f>
        <v>#REF!</v>
      </c>
      <c r="Q12">
        <f>IF(J_V="SI",0,Datos!AG12)</f>
        <v>11</v>
      </c>
      <c r="R12">
        <f>IF(J_V="SI",0,Datos!AH12)</f>
        <v>57</v>
      </c>
      <c r="S12">
        <f>IF(J_V="SI",0,Datos!AI12)</f>
        <v>34</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0.489247311827957</v>
      </c>
      <c r="I13" s="360">
        <f>IF(ISNUMBER((Tasas!C13-Datos!BE13)/Datos!BE13),(Tasas!C13-Datos!BE13)/Datos!BE13," - ")</f>
        <v>-0.36416986043183225</v>
      </c>
      <c r="J13" s="358">
        <f>IF(ISNUMBER((Tasas!D13-Datos!BF13)/Datos!BF13),(Tasas!D13-Datos!BF13)/Datos!BF13," - ")</f>
        <v>-0.23356361234581124</v>
      </c>
      <c r="K13" s="361">
        <f>IF(ISNUMBER((Tasas!E13-Datos!BG13)/Datos!BG13),(Tasas!E13-Datos!BG13)/Datos!BG13," - ")</f>
        <v>-0.17294836300613928</v>
      </c>
      <c r="M13" t="e">
        <f>IF(Monitorios="SI",Datos!CE13,0)</f>
        <v>#REF!</v>
      </c>
      <c r="N13" t="e">
        <f>IF(Monitorios="SI",Datos!CF13,0)</f>
        <v>#REF!</v>
      </c>
      <c r="O13" t="e">
        <f>IF(Monitorios="SI",Datos!CG13,0)</f>
        <v>#REF!</v>
      </c>
      <c r="P13" t="e">
        <f>IF(Monitorios="SI",Datos!CH13,0)</f>
        <v>#REF!</v>
      </c>
      <c r="Q13">
        <f>IF(J_V="SI",0,Datos!AG13)</f>
        <v>11</v>
      </c>
      <c r="R13">
        <f>IF(J_V="SI",0,Datos!AH13)</f>
        <v>57</v>
      </c>
      <c r="S13">
        <f>IF(J_V="SI",0,Datos!AI13)</f>
        <v>34</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-3.2028469750889681E-2</v>
      </c>
      <c r="E16" s="351">
        <f>IF(ISNUMBER(
   IF(D_I="SI",(Datos!J16-Datos!T16)/Datos!T16,(Datos!J16+Datos!AD16-(Datos!T16+Datos!AL16))/(Datos!T16+Datos!AL16))
     ),IF(D_I="SI",(Datos!J16-Datos!T16)/Datos!T16,(Datos!J16+Datos!AD16-(Datos!T16+Datos!AL16))/(Datos!T16+Datos!AL16))," - ")</f>
        <v>0.10703812316715543</v>
      </c>
      <c r="F16" s="351">
        <f>IF(ISNUMBER(
   IF(D_I="SI",(Datos!K16-Datos!U16)/Datos!U16,(Datos!K16+Datos!AE16-(Datos!U16+Datos!AM16))/(Datos!U16+Datos!AM16))
     ),IF(D_I="SI",(Datos!K16-Datos!U16)/Datos!U16,(Datos!K16+Datos!AE16-(Datos!U16+Datos!AM16))/(Datos!U16+Datos!AM16))," - ")</f>
        <v>3.1024531024531024E-2</v>
      </c>
      <c r="G16" s="352">
        <f>IF(ISNUMBER(
   IF(D_I="SI",(Datos!L16-Datos!V16)/Datos!V16,(Datos!L16+Datos!AF16-(Datos!V16+Datos!AN16))/(Datos!V16+Datos!AN16))
     ),IF(D_I="SI",(Datos!L16-Datos!V16)/Datos!V16,(Datos!L16+Datos!AF16-(Datos!V16+Datos!AN16))/(Datos!V16+Datos!AN16))," - ")</f>
        <v>0.15625</v>
      </c>
      <c r="H16" s="233">
        <f>IF(ISNUMBER((Datos!M16-Datos!W16)/Datos!W16),(Datos!M16-Datos!W16)/Datos!W16," - ")</f>
        <v>0.15306122448979592</v>
      </c>
      <c r="I16" s="353">
        <f>IF(ISNUMBER((Tasas!C16-Datos!BE16)/Datos!BE16),(Tasas!C16-Datos!BE16)/Datos!BE16," - ")</f>
        <v>0.12145731280615811</v>
      </c>
      <c r="J16" s="352">
        <f>IF(ISNUMBER((Tasas!D16-Datos!BF16)/Datos!BF16),(Tasas!D16-Datos!BF16)/Datos!BF16," - ")</f>
        <v>0.11836449065280412</v>
      </c>
      <c r="K16" s="354">
        <f>IF(ISNUMBER((Tasas!E16-Datos!BG16)/Datos!BG16),(Tasas!E16-Datos!BG16)/Datos!BG16," - ")</f>
        <v>3.4368194214632851E-2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-3.5971223021582732E-2</v>
      </c>
      <c r="F17" s="351">
        <f>IF(ISNUMBER(
   IF(D_I="SI",(Datos!K17-Datos!U17)/Datos!U17,(Datos!K17+Datos!AE17-(Datos!U17+Datos!AM17))/(Datos!U17+Datos!AM17))
     ),IF(D_I="SI",(Datos!K17-Datos!U17)/Datos!U17,(Datos!K17+Datos!AE17-(Datos!U17+Datos!AM17))/(Datos!U17+Datos!AM17))," - ")</f>
        <v>1.4814814814814815E-2</v>
      </c>
      <c r="G17" s="352">
        <f>IF(ISNUMBER(
   IF(D_I="SI",(Datos!L17-Datos!V17)/Datos!V17,(Datos!L17+Datos!AF17-(Datos!V17+Datos!AN17))/(Datos!V17+Datos!AN17))
     ),IF(D_I="SI",(Datos!L17-Datos!V17)/Datos!V17,(Datos!L17+Datos!AF17-(Datos!V17+Datos!AN17))/(Datos!V17+Datos!AN17))," - ")</f>
        <v>-0.3</v>
      </c>
      <c r="H17" s="233">
        <f>IF(ISNUMBER((Datos!M17-Datos!W17)/Datos!W17),(Datos!M17-Datos!W17)/Datos!W17," - ")</f>
        <v>-0.31578947368421051</v>
      </c>
      <c r="I17" s="353">
        <f>IF(ISNUMBER((Tasas!C17-Datos!BE17)/Datos!BE17),(Tasas!C17-Datos!BE17)/Datos!BE17," - ")</f>
        <v>-0.31021897810218974</v>
      </c>
      <c r="J17" s="352">
        <f>IF(ISNUMBER((Tasas!D17-Datos!BF17)/Datos!BF17),(Tasas!D17-Datos!BF17)/Datos!BF17," - ")</f>
        <v>-0.32577794852093744</v>
      </c>
      <c r="K17" s="354">
        <f>IF(ISNUMBER((Tasas!E17-Datos!BG17)/Datos!BG17),(Tasas!E17-Datos!BG17)/Datos!BG17," - ")</f>
        <v>-2.1394412282909694E-2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-2.464788732394366E-2</v>
      </c>
      <c r="E18" s="357">
        <f>IF(ISNUMBER(
   IF(D_I="SI",(Datos!J18-Datos!T18)/Datos!T18,(Datos!J18+Datos!AD18-(Datos!T18+Datos!AL18))/(Datos!T18+Datos!AL18))
     ),IF(D_I="SI",(Datos!J18-Datos!T18)/Datos!T18,(Datos!J18+Datos!AD18-(Datos!T18+Datos!AL18))/(Datos!T18+Datos!AL18))," - ")</f>
        <v>9.3812375249500993E-2</v>
      </c>
      <c r="F18" s="357">
        <f>IF(ISNUMBER(
   IF(D_I="SI",(Datos!K18-Datos!U18)/Datos!U18,(Datos!K18+Datos!AE18-(Datos!U18+Datos!AM18))/(Datos!U18+Datos!AM18))
     ),IF(D_I="SI",(Datos!K18-Datos!U18)/Datos!U18,(Datos!K18+Datos!AE18-(Datos!U18+Datos!AM18))/(Datos!U18+Datos!AM18))," - ")</f>
        <v>2.9585798816568046E-2</v>
      </c>
      <c r="G18" s="358">
        <f>IF(ISNUMBER(
   IF(D_I="SI",(Datos!L18-Datos!V18)/Datos!V18,(Datos!L18+Datos!AF18-(Datos!V18+Datos!AN18))/(Datos!V18+Datos!AN18))
     ),IF(D_I="SI",(Datos!L18-Datos!V18)/Datos!V18,(Datos!L18+Datos!AF18-(Datos!V18+Datos!AN18))/(Datos!V18+Datos!AN18))," - ")</f>
        <v>0.14801444043321299</v>
      </c>
      <c r="H18" s="359">
        <f>IF(ISNUMBER((Datos!M18-Datos!W18)/Datos!W18),(Datos!M18-Datos!W18)/Datos!W18," - ")</f>
        <v>0.11162790697674418</v>
      </c>
      <c r="I18" s="360">
        <f>IF(ISNUMBER((Tasas!C18-Datos!BE18)/Datos!BE18),(Tasas!C18-Datos!BE18)/Datos!BE18," - ")</f>
        <v>0.11502551973110917</v>
      </c>
      <c r="J18" s="358">
        <f>IF(ISNUMBER((Tasas!D18-Datos!BF18)/Datos!BF18),(Tasas!D18-Datos!BF18)/Datos!BF18," - ")</f>
        <v>7.9684576316492936E-2</v>
      </c>
      <c r="K18" s="361">
        <f>IF(ISNUMBER((Tasas!E18-Datos!BG18)/Datos!BG18),(Tasas!E18-Datos!BG18)/Datos!BG18," - ")</f>
        <v>3.0825244065557759E-2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0.30984126984126986</v>
      </c>
      <c r="E19" s="366">
        <f>IF(ISNUMBER(
   IF(J_V="SI",(Datos!J19-Datos!T19)/Datos!T19,(Datos!J19+Datos!Z19-(Datos!T19+Datos!AH19))/(Datos!T19+Datos!AH19))
     ),IF(J_V="SI",(Datos!J19-Datos!T19)/Datos!T19,(Datos!J19+Datos!Z19-(Datos!T19+Datos!AH19))/(Datos!T19+Datos!AH19))," - ")</f>
        <v>0.19743119266055045</v>
      </c>
      <c r="F19" s="366">
        <f>IF(ISNUMBER(
   IF(J_V="SI",(Datos!K19-Datos!U19)/Datos!U19,(Datos!K19+Datos!AA19-(Datos!U19+Datos!AI19))/(Datos!U19+Datos!AI19))
     ),IF(J_V="SI",(Datos!K19-Datos!U19)/Datos!U19,(Datos!K19+Datos!AA19-(Datos!U19+Datos!AI19))/(Datos!U19+Datos!AI19))," - ")</f>
        <v>0.25479094076655051</v>
      </c>
      <c r="G19" s="367">
        <f>IF(ISNUMBER(
   IF(J_V="SI",(Datos!L19-Datos!V19)/Datos!V19,(Datos!L19+Datos!AB19-(Datos!V19+Datos!AJ19))/(Datos!V19+Datos!AJ19))
     ),IF(J_V="SI",(Datos!L19-Datos!V19)/Datos!V19,(Datos!L19+Datos!AB19-(Datos!V19+Datos!AJ19))/(Datos!V19+Datos!AJ19))," - ")</f>
        <v>9.7430925836160934E-2</v>
      </c>
      <c r="H19" s="368">
        <f>IF(ISNUMBER((Datos!M19-Datos!W19)/Datos!W19),(Datos!M19-Datos!W19)/Datos!W19," - ")</f>
        <v>0.28678304239401498</v>
      </c>
      <c r="I19" s="365">
        <f>IF(ISNUMBER((Tasas!C19-Datos!BE19)/Datos!BE19),(Tasas!C19-Datos!BE19)/Datos!BE19," - ")</f>
        <v>-0.12540735657069577</v>
      </c>
      <c r="J19" s="366">
        <f>IF(ISNUMBER((Tasas!D19-Datos!BF19)/Datos!BF19),(Tasas!D19-Datos!BF19)/Datos!BF19," - ")</f>
        <v>-3.9196540661180113E-2</v>
      </c>
      <c r="K19" s="367">
        <f>IF(ISNUMBER((Tasas!E19-Datos!BG19)/Datos!BG19),(Tasas!E19-Datos!BG19)/Datos!BG19," - ")</f>
        <v>-1.2899590742878348E-2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0.95621919238002884</v>
      </c>
      <c r="E21" s="281">
        <f t="shared" si="1"/>
        <v>0.18419165879055879</v>
      </c>
      <c r="F21" s="281">
        <f t="shared" si="1"/>
        <v>0.32084612100472765</v>
      </c>
      <c r="G21" s="282">
        <f t="shared" si="1"/>
        <v>0.39506524520330139</v>
      </c>
      <c r="H21" s="288">
        <f t="shared" si="1"/>
        <v>0.44572549668897704</v>
      </c>
      <c r="I21" s="280">
        <f t="shared" si="1"/>
        <v>0.23772915001092751</v>
      </c>
      <c r="J21" s="281">
        <f t="shared" si="1"/>
        <v>0.22403194300761675</v>
      </c>
      <c r="K21" s="282">
        <f t="shared" si="1"/>
        <v>9.7280765586721954E-2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r5Qw63zvWoREDhmakiq9rGDKEfqE8pb9uor/tq/s7un/X/dUyctnoBpJZ4BA2YQa0nn8hHlAgUBUls9iiPp0Q==" saltValue="TRSWJopB7D4x2mHeCSrR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